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firstSheet="1" activeTab="2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6 тур" sheetId="6" r:id="rId6"/>
    <sheet name="Набор" sheetId="7" r:id="rId7"/>
    <sheet name="180" sheetId="8" r:id="rId8"/>
    <sheet name="Ср.лег" sheetId="9" r:id="rId9"/>
    <sheet name="Закрытия 100+" sheetId="10" r:id="rId10"/>
    <sheet name="Общий рейтинг" sheetId="11" r:id="rId11"/>
    <sheet name="Исходник" sheetId="12" r:id="rId12"/>
  </sheets>
  <definedNames/>
  <calcPr fullCalcOnLoad="1"/>
</workbook>
</file>

<file path=xl/sharedStrings.xml><?xml version="1.0" encoding="utf-8"?>
<sst xmlns="http://schemas.openxmlformats.org/spreadsheetml/2006/main" count="413" uniqueCount="107">
  <si>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</si>
  <si>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</si>
  <si>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</si>
  <si>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</si>
  <si>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</si>
  <si>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</si>
  <si>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</si>
  <si>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</si>
  <si>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</si>
  <si>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</si>
  <si>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</si>
  <si>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</si>
  <si>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</si>
  <si>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</si>
  <si>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</si>
  <si>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</si>
  <si>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</si>
  <si>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</si>
  <si>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</si>
  <si>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</si>
  <si>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</si>
  <si>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</si>
  <si>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ср. набор</t>
  </si>
  <si>
    <t>Иванов Евгений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</si>
  <si>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</si>
  <si>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</si>
  <si>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</si>
  <si>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</si>
  <si>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</si>
  <si>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</si>
  <si>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</si>
  <si>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</si>
  <si>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Акутов Александр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</si>
  <si>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</si>
  <si>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</si>
  <si>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</si>
  <si>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</si>
  <si>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</si>
  <si>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</si>
  <si>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</si>
  <si>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</si>
  <si>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</si>
  <si>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</si>
  <si>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</si>
  <si>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</si>
  <si>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</si>
  <si>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</si>
  <si>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</si>
  <si>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</si>
  <si>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</si>
  <si>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</si>
  <si>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</si>
  <si>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ХХХХ Открытая Московская Дартс Лига 
2015 осень/весна</t>
  </si>
  <si>
    <t>Некая Лига, 
4 тур</t>
  </si>
  <si>
    <t>Некая Лига, 
5 тур</t>
  </si>
  <si>
    <t>6 тур</t>
  </si>
  <si>
    <r>
      <t xml:space="preserve">Клочек Ксения
</t>
    </r>
    <r>
      <rPr>
        <i/>
        <sz val="10"/>
        <rFont val="Arial"/>
        <family val="2"/>
      </rPr>
      <t>СФДМ, Москва</t>
    </r>
  </si>
  <si>
    <r>
      <t xml:space="preserve">Новоселов Павел
</t>
    </r>
    <r>
      <rPr>
        <i/>
        <sz val="10"/>
        <rFont val="Arial"/>
        <family val="2"/>
      </rPr>
      <t>СФДМ, Москва</t>
    </r>
  </si>
  <si>
    <r>
      <t xml:space="preserve">Конюхов Александр
</t>
    </r>
    <r>
      <rPr>
        <i/>
        <sz val="10"/>
        <rFont val="Arial"/>
        <family val="2"/>
      </rPr>
      <t>СФДМ, Москва</t>
    </r>
  </si>
  <si>
    <r>
      <t xml:space="preserve">Хроменко Олег
</t>
    </r>
    <r>
      <rPr>
        <i/>
        <sz val="10"/>
        <rFont val="Arial"/>
        <family val="2"/>
      </rPr>
      <t>СФДМ, Москва</t>
    </r>
  </si>
  <si>
    <r>
      <t xml:space="preserve">Дераков Евгений
</t>
    </r>
    <r>
      <rPr>
        <i/>
        <sz val="10"/>
        <rFont val="Arial"/>
        <family val="2"/>
      </rPr>
      <t>СФДМ, Москва</t>
    </r>
  </si>
  <si>
    <r>
      <t xml:space="preserve">Иванов Евгений
</t>
    </r>
    <r>
      <rPr>
        <i/>
        <sz val="10"/>
        <rFont val="Arial"/>
        <family val="2"/>
      </rPr>
      <t>СФДМ, Красногорск</t>
    </r>
  </si>
  <si>
    <r>
      <t xml:space="preserve">Колпаков Олег
</t>
    </r>
    <r>
      <rPr>
        <i/>
        <sz val="10"/>
        <rFont val="Arial"/>
        <family val="2"/>
      </rPr>
      <t>СФДМ, Москва</t>
    </r>
  </si>
  <si>
    <r>
      <t xml:space="preserve">Соболев Артем
</t>
    </r>
    <r>
      <rPr>
        <i/>
        <sz val="10"/>
        <rFont val="Arial"/>
        <family val="2"/>
      </rPr>
      <t>СФДМ, Москва</t>
    </r>
  </si>
  <si>
    <r>
      <t xml:space="preserve">Сердюк Владимир
</t>
    </r>
    <r>
      <rPr>
        <i/>
        <sz val="10"/>
        <rFont val="Arial"/>
        <family val="2"/>
      </rPr>
      <t>СФДМ, Москва</t>
    </r>
  </si>
  <si>
    <r>
      <t xml:space="preserve">Шашеро Антон
</t>
    </r>
    <r>
      <rPr>
        <i/>
        <sz val="10"/>
        <rFont val="Arial"/>
        <family val="2"/>
      </rPr>
      <t>СФДМ, Москва</t>
    </r>
  </si>
  <si>
    <r>
      <t xml:space="preserve">Акутов Александр
</t>
    </r>
    <r>
      <rPr>
        <i/>
        <sz val="10"/>
        <rFont val="Arial"/>
        <family val="2"/>
      </rPr>
      <t>СФДМ, Москва</t>
    </r>
  </si>
  <si>
    <r>
      <t xml:space="preserve">Борисов Андрей
</t>
    </r>
    <r>
      <rPr>
        <i/>
        <sz val="10"/>
        <rFont val="Arial"/>
        <family val="2"/>
      </rPr>
      <t>СФДМ, Москва</t>
    </r>
  </si>
  <si>
    <t xml:space="preserve">120, 140 </t>
  </si>
  <si>
    <t>Сущенко Сергей</t>
  </si>
  <si>
    <t>Новоселов Павел</t>
  </si>
  <si>
    <t>Клочек Ксения</t>
  </si>
  <si>
    <t>Конюхов Александр</t>
  </si>
  <si>
    <t>Хроменко Олег</t>
  </si>
  <si>
    <t>Дераков Евгений</t>
  </si>
  <si>
    <t>Колпаков Олег</t>
  </si>
  <si>
    <t>Соболев Артем</t>
  </si>
  <si>
    <t>Сердюк Владимир</t>
  </si>
  <si>
    <t>Шашеро Антон</t>
  </si>
  <si>
    <t>Борисов Андрей</t>
  </si>
  <si>
    <t>110</t>
  </si>
  <si>
    <t>5</t>
  </si>
  <si>
    <t>Столбец1</t>
  </si>
  <si>
    <t>Столбец2</t>
  </si>
  <si>
    <t>Столбец3</t>
  </si>
  <si>
    <t>Столбец4</t>
  </si>
  <si>
    <t>Столбец5</t>
  </si>
  <si>
    <t>Общий рейтинг, Первая Лига</t>
  </si>
  <si>
    <t>ХХXI Открытая Московская Дартс Лига 
2019 зима/весна</t>
  </si>
  <si>
    <t>Первая Лига, 
1 тур</t>
  </si>
  <si>
    <t>121,140</t>
  </si>
  <si>
    <t>108</t>
  </si>
  <si>
    <t>Ломов Аликус</t>
  </si>
  <si>
    <t>Ломов Аликус                      СФДМ, Москва</t>
  </si>
  <si>
    <t>ХХXI Открытая Московская Дартс Лига 
2019 Зима/Весна</t>
  </si>
  <si>
    <t>Первая Лига, 
3 тур</t>
  </si>
  <si>
    <t>Первая Лига, 
2 тур</t>
  </si>
  <si>
    <t xml:space="preserve"> </t>
  </si>
  <si>
    <r>
      <t xml:space="preserve">Сущенко Сергей
</t>
    </r>
    <r>
      <rPr>
        <i/>
        <sz val="10"/>
        <rFont val="Arial"/>
        <family val="2"/>
      </rPr>
      <t>СФДМ, Москва</t>
    </r>
  </si>
  <si>
    <t>114</t>
  </si>
  <si>
    <t>112</t>
  </si>
  <si>
    <t>139</t>
  </si>
  <si>
    <t>102</t>
  </si>
  <si>
    <t>128, 116</t>
  </si>
  <si>
    <t>129</t>
  </si>
  <si>
    <t>128,116</t>
  </si>
  <si>
    <t>100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</si>
</sst>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 Cyr"/>
      <family val="2"/>
    </font>
    <font>
      <b/>
      <sz val="20"/>
      <color indexed="8"/>
      <name val="Arial Cyr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 Cyr"/>
      <family val="2"/>
    </font>
    <font>
      <b/>
      <sz val="20"/>
      <color theme="1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 style="medium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medium"/>
    </border>
    <border>
      <left/>
      <right style="thick">
        <color indexed="8"/>
      </right>
      <top/>
      <bottom style="medium"/>
    </border>
    <border>
      <left/>
      <right style="medium"/>
      <top style="medium"/>
      <bottom style="thin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 style="medium"/>
    </border>
    <border>
      <left>
        <color indexed="63"/>
      </left>
      <right style="thick">
        <color indexed="8"/>
      </right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1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0" fillId="33" borderId="13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8" fillId="34" borderId="12" xfId="0" applyFont="1" applyFill="1" applyBorder="1" applyAlignment="1" applyProtection="1">
      <alignment horizontal="center" vertical="center"/>
      <protection/>
    </xf>
    <xf numFmtId="0" fontId="30" fillId="35" borderId="22" xfId="0" applyFont="1" applyFill="1" applyBorder="1" applyAlignment="1" applyProtection="1">
      <alignment horizontal="center" vertical="center"/>
      <protection locked="0"/>
    </xf>
    <xf numFmtId="0" fontId="51" fillId="35" borderId="10" xfId="0" applyFont="1" applyFill="1" applyBorder="1" applyAlignment="1" applyProtection="1">
      <alignment horizontal="center" vertical="center"/>
      <protection/>
    </xf>
    <xf numFmtId="0" fontId="30" fillId="35" borderId="23" xfId="0" applyFont="1" applyFill="1" applyBorder="1" applyAlignment="1" applyProtection="1">
      <alignment horizontal="center" vertical="center"/>
      <protection locked="0"/>
    </xf>
    <xf numFmtId="0" fontId="37" fillId="33" borderId="12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30" fillId="33" borderId="14" xfId="0" applyFont="1" applyFill="1" applyBorder="1" applyAlignment="1" applyProtection="1">
      <alignment horizontal="center" vertical="center"/>
      <protection locked="0"/>
    </xf>
    <xf numFmtId="0" fontId="38" fillId="33" borderId="35" xfId="0" applyFont="1" applyFill="1" applyBorder="1" applyAlignment="1" applyProtection="1">
      <alignment horizontal="center" vertical="center"/>
      <protection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2" fillId="33" borderId="1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6" fillId="35" borderId="25" xfId="0" applyFont="1" applyFill="1" applyBorder="1" applyAlignment="1" applyProtection="1">
      <alignment horizontal="center" vertical="center"/>
      <protection locked="0"/>
    </xf>
    <xf numFmtId="0" fontId="6" fillId="35" borderId="26" xfId="0" applyFont="1" applyFill="1" applyBorder="1" applyAlignment="1" applyProtection="1">
      <alignment horizontal="center" vertical="center"/>
      <protection locked="0"/>
    </xf>
    <xf numFmtId="0" fontId="6" fillId="35" borderId="27" xfId="0" applyFont="1" applyFill="1" applyBorder="1" applyAlignment="1" applyProtection="1">
      <alignment horizontal="center" vertical="center"/>
      <protection locked="0"/>
    </xf>
    <xf numFmtId="0" fontId="51" fillId="36" borderId="10" xfId="0" applyFont="1" applyFill="1" applyBorder="1" applyAlignment="1" applyProtection="1">
      <alignment horizontal="center" vertical="center"/>
      <protection/>
    </xf>
    <xf numFmtId="0" fontId="51" fillId="37" borderId="10" xfId="0" applyFont="1" applyFill="1" applyBorder="1" applyAlignment="1" applyProtection="1">
      <alignment horizontal="center" vertical="center"/>
      <protection/>
    </xf>
    <xf numFmtId="0" fontId="51" fillId="38" borderId="10" xfId="0" applyFont="1" applyFill="1" applyBorder="1" applyAlignment="1" applyProtection="1">
      <alignment horizontal="center" vertical="center"/>
      <protection/>
    </xf>
    <xf numFmtId="0" fontId="30" fillId="38" borderId="23" xfId="0" applyFont="1" applyFill="1" applyBorder="1" applyAlignment="1" applyProtection="1">
      <alignment horizontal="center" vertical="center"/>
      <protection locked="0"/>
    </xf>
    <xf numFmtId="0" fontId="30" fillId="38" borderId="22" xfId="0" applyFont="1" applyFill="1" applyBorder="1" applyAlignment="1" applyProtection="1">
      <alignment horizontal="center" vertical="center"/>
      <protection locked="0"/>
    </xf>
    <xf numFmtId="0" fontId="25" fillId="18" borderId="43" xfId="0" applyFont="1" applyFill="1" applyBorder="1" applyAlignment="1" applyProtection="1">
      <alignment horizontal="center" vertical="center"/>
      <protection/>
    </xf>
    <xf numFmtId="0" fontId="25" fillId="18" borderId="44" xfId="0" applyFont="1" applyFill="1" applyBorder="1" applyAlignment="1" applyProtection="1">
      <alignment horizontal="center" vertical="center"/>
      <protection/>
    </xf>
    <xf numFmtId="0" fontId="25" fillId="18" borderId="45" xfId="0" applyFont="1" applyFill="1" applyBorder="1" applyAlignment="1" applyProtection="1">
      <alignment horizontal="center" vertical="center"/>
      <protection/>
    </xf>
    <xf numFmtId="1" fontId="53" fillId="39" borderId="10" xfId="0" applyNumberFormat="1" applyFont="1" applyFill="1" applyBorder="1" applyAlignment="1" applyProtection="1">
      <alignment horizontal="center" vertical="center"/>
      <protection/>
    </xf>
    <xf numFmtId="1" fontId="54" fillId="40" borderId="46" xfId="0" applyNumberFormat="1" applyFont="1" applyFill="1" applyBorder="1" applyAlignment="1" applyProtection="1">
      <alignment horizontal="center" vertical="center"/>
      <protection/>
    </xf>
    <xf numFmtId="0" fontId="3" fillId="41" borderId="28" xfId="0" applyFont="1" applyFill="1" applyBorder="1" applyAlignment="1" applyProtection="1">
      <alignment horizontal="center" vertical="center"/>
      <protection locked="0"/>
    </xf>
    <xf numFmtId="0" fontId="32" fillId="41" borderId="12" xfId="0" applyFont="1" applyFill="1" applyBorder="1" applyAlignment="1" applyProtection="1">
      <alignment horizontal="center" vertical="center"/>
      <protection locked="0"/>
    </xf>
    <xf numFmtId="0" fontId="5" fillId="42" borderId="0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7" fillId="41" borderId="16" xfId="0" applyFont="1" applyFill="1" applyBorder="1" applyAlignment="1" applyProtection="1">
      <alignment horizontal="center" vertical="center"/>
      <protection locked="0"/>
    </xf>
    <xf numFmtId="0" fontId="7" fillId="41" borderId="17" xfId="0" applyFont="1" applyFill="1" applyBorder="1" applyAlignment="1" applyProtection="1">
      <alignment horizontal="center" vertical="center"/>
      <protection locked="0"/>
    </xf>
    <xf numFmtId="0" fontId="7" fillId="41" borderId="18" xfId="0" applyFont="1" applyFill="1" applyBorder="1" applyAlignment="1" applyProtection="1">
      <alignment horizontal="center" vertical="center"/>
      <protection locked="0"/>
    </xf>
    <xf numFmtId="0" fontId="3" fillId="41" borderId="20" xfId="0" applyFont="1" applyFill="1" applyBorder="1" applyAlignment="1" applyProtection="1">
      <alignment horizontal="center" vertical="center"/>
      <protection locked="0"/>
    </xf>
    <xf numFmtId="0" fontId="30" fillId="42" borderId="22" xfId="0" applyFont="1" applyFill="1" applyBorder="1" applyAlignment="1" applyProtection="1">
      <alignment horizontal="center" vertical="center"/>
      <protection locked="0"/>
    </xf>
    <xf numFmtId="0" fontId="51" fillId="42" borderId="10" xfId="0" applyFont="1" applyFill="1" applyBorder="1" applyAlignment="1" applyProtection="1">
      <alignment horizontal="center" vertical="center"/>
      <protection/>
    </xf>
    <xf numFmtId="0" fontId="30" fillId="42" borderId="23" xfId="0" applyFont="1" applyFill="1" applyBorder="1" applyAlignment="1" applyProtection="1">
      <alignment horizontal="center" vertical="center"/>
      <protection locked="0"/>
    </xf>
    <xf numFmtId="0" fontId="6" fillId="42" borderId="25" xfId="0" applyFont="1" applyFill="1" applyBorder="1" applyAlignment="1" applyProtection="1">
      <alignment horizontal="center" vertical="center"/>
      <protection locked="0"/>
    </xf>
    <xf numFmtId="0" fontId="6" fillId="42" borderId="26" xfId="0" applyFont="1" applyFill="1" applyBorder="1" applyAlignment="1" applyProtection="1">
      <alignment horizontal="center" vertical="center"/>
      <protection locked="0"/>
    </xf>
    <xf numFmtId="0" fontId="6" fillId="42" borderId="27" xfId="0" applyFont="1" applyFill="1" applyBorder="1" applyAlignment="1" applyProtection="1">
      <alignment horizontal="center" vertical="center"/>
      <protection locked="0"/>
    </xf>
    <xf numFmtId="0" fontId="3" fillId="41" borderId="13" xfId="0" applyFont="1" applyFill="1" applyBorder="1" applyAlignment="1" applyProtection="1">
      <alignment horizontal="center" vertical="center"/>
      <protection locked="0"/>
    </xf>
    <xf numFmtId="0" fontId="37" fillId="41" borderId="12" xfId="0" applyFont="1" applyFill="1" applyBorder="1" applyAlignment="1" applyProtection="1">
      <alignment horizontal="center" vertical="center"/>
      <protection locked="0"/>
    </xf>
    <xf numFmtId="0" fontId="30" fillId="41" borderId="14" xfId="0" applyFont="1" applyFill="1" applyBorder="1" applyAlignment="1" applyProtection="1">
      <alignment horizontal="center" vertical="center"/>
      <protection locked="0"/>
    </xf>
    <xf numFmtId="0" fontId="6" fillId="41" borderId="16" xfId="0" applyFont="1" applyFill="1" applyBorder="1" applyAlignment="1" applyProtection="1">
      <alignment horizontal="center" vertical="center"/>
      <protection locked="0"/>
    </xf>
    <xf numFmtId="0" fontId="6" fillId="41" borderId="17" xfId="0" applyFont="1" applyFill="1" applyBorder="1" applyAlignment="1" applyProtection="1">
      <alignment horizontal="center" vertical="center"/>
      <protection locked="0"/>
    </xf>
    <xf numFmtId="0" fontId="6" fillId="41" borderId="18" xfId="0" applyFont="1" applyFill="1" applyBorder="1" applyAlignment="1" applyProtection="1">
      <alignment horizontal="center" vertical="center"/>
      <protection locked="0"/>
    </xf>
    <xf numFmtId="0" fontId="6" fillId="42" borderId="32" xfId="0" applyFont="1" applyFill="1" applyBorder="1" applyAlignment="1" applyProtection="1">
      <alignment horizontal="center" vertical="center"/>
      <protection locked="0"/>
    </xf>
    <xf numFmtId="0" fontId="6" fillId="42" borderId="33" xfId="0" applyFont="1" applyFill="1" applyBorder="1" applyAlignment="1" applyProtection="1">
      <alignment horizontal="center" vertical="center"/>
      <protection/>
    </xf>
    <xf numFmtId="0" fontId="6" fillId="42" borderId="34" xfId="0" applyFont="1" applyFill="1" applyBorder="1" applyAlignment="1" applyProtection="1">
      <alignment horizontal="center" vertical="center"/>
      <protection locked="0"/>
    </xf>
    <xf numFmtId="0" fontId="7" fillId="41" borderId="35" xfId="0" applyFont="1" applyFill="1" applyBorder="1" applyAlignment="1" applyProtection="1">
      <alignment horizontal="center" vertical="center"/>
      <protection locked="0"/>
    </xf>
    <xf numFmtId="0" fontId="7" fillId="41" borderId="36" xfId="0" applyFont="1" applyFill="1" applyBorder="1" applyAlignment="1" applyProtection="1">
      <alignment horizontal="center" vertical="center"/>
      <protection locked="0"/>
    </xf>
    <xf numFmtId="0" fontId="7" fillId="41" borderId="37" xfId="0" applyFont="1" applyFill="1" applyBorder="1" applyAlignment="1" applyProtection="1">
      <alignment horizontal="center" vertical="center"/>
      <protection locked="0"/>
    </xf>
    <xf numFmtId="0" fontId="30" fillId="41" borderId="13" xfId="0" applyFont="1" applyFill="1" applyBorder="1" applyAlignment="1" applyProtection="1">
      <alignment horizontal="center" vertical="center"/>
      <protection/>
    </xf>
    <xf numFmtId="0" fontId="2" fillId="41" borderId="20" xfId="0" applyFont="1" applyFill="1" applyBorder="1" applyAlignment="1" applyProtection="1">
      <alignment horizontal="center" vertical="center"/>
      <protection locked="0"/>
    </xf>
    <xf numFmtId="0" fontId="38" fillId="43" borderId="12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 vertical="center"/>
      <protection/>
    </xf>
    <xf numFmtId="0" fontId="38" fillId="41" borderId="35" xfId="0" applyFont="1" applyFill="1" applyBorder="1" applyAlignment="1" applyProtection="1">
      <alignment horizontal="center" vertical="center"/>
      <protection/>
    </xf>
    <xf numFmtId="0" fontId="6" fillId="42" borderId="33" xfId="0" applyFont="1" applyFill="1" applyBorder="1" applyAlignment="1" applyProtection="1">
      <alignment horizontal="center" vertical="center"/>
      <protection locked="0"/>
    </xf>
    <xf numFmtId="0" fontId="36" fillId="44" borderId="10" xfId="0" applyFont="1" applyFill="1" applyBorder="1" applyAlignment="1" applyProtection="1">
      <alignment horizontal="center" vertical="center"/>
      <protection/>
    </xf>
    <xf numFmtId="0" fontId="36" fillId="45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47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30" fillId="2" borderId="48" xfId="0" applyFont="1" applyFill="1" applyBorder="1" applyAlignment="1" applyProtection="1">
      <alignment horizontal="center" vertical="center"/>
      <protection locked="0"/>
    </xf>
    <xf numFmtId="0" fontId="30" fillId="2" borderId="49" xfId="0" applyFont="1" applyFill="1" applyBorder="1" applyAlignment="1" applyProtection="1">
      <alignment horizontal="center" vertical="center"/>
      <protection locked="0"/>
    </xf>
    <xf numFmtId="0" fontId="29" fillId="2" borderId="49" xfId="0" applyFont="1" applyFill="1" applyBorder="1" applyAlignment="1" applyProtection="1">
      <alignment horizontal="center" vertical="center"/>
      <protection/>
    </xf>
    <xf numFmtId="0" fontId="31" fillId="46" borderId="50" xfId="0" applyFont="1" applyFill="1" applyBorder="1" applyAlignment="1" applyProtection="1">
      <alignment horizontal="center" vertical="center"/>
      <protection/>
    </xf>
    <xf numFmtId="0" fontId="31" fillId="46" borderId="51" xfId="0" applyFont="1" applyFill="1" applyBorder="1" applyAlignment="1" applyProtection="1">
      <alignment horizontal="center" vertical="center"/>
      <protection/>
    </xf>
    <xf numFmtId="0" fontId="31" fillId="46" borderId="48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29" fillId="9" borderId="49" xfId="0" applyFont="1" applyFill="1" applyBorder="1" applyAlignment="1" applyProtection="1">
      <alignment horizontal="center" vertical="center"/>
      <protection/>
    </xf>
    <xf numFmtId="0" fontId="34" fillId="21" borderId="53" xfId="0" applyFont="1" applyFill="1" applyBorder="1" applyAlignment="1" applyProtection="1">
      <alignment horizontal="center" vertical="center"/>
      <protection locked="0"/>
    </xf>
    <xf numFmtId="0" fontId="34" fillId="21" borderId="54" xfId="0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4" fillId="21" borderId="57" xfId="0" applyFont="1" applyFill="1" applyBorder="1" applyAlignment="1" applyProtection="1">
      <alignment horizontal="center" vertical="center" wrapText="1"/>
      <protection locked="0"/>
    </xf>
    <xf numFmtId="0" fontId="4" fillId="21" borderId="58" xfId="0" applyFont="1" applyFill="1" applyBorder="1" applyAlignment="1" applyProtection="1">
      <alignment horizontal="center" vertical="center" wrapText="1"/>
      <protection locked="0"/>
    </xf>
    <xf numFmtId="0" fontId="4" fillId="21" borderId="59" xfId="0" applyFont="1" applyFill="1" applyBorder="1" applyAlignment="1" applyProtection="1">
      <alignment horizontal="center" vertical="center" wrapText="1"/>
      <protection locked="0"/>
    </xf>
    <xf numFmtId="2" fontId="2" fillId="47" borderId="60" xfId="0" applyNumberFormat="1" applyFont="1" applyFill="1" applyBorder="1" applyAlignment="1" applyProtection="1">
      <alignment horizontal="center" vertical="center"/>
      <protection locked="0"/>
    </xf>
    <xf numFmtId="2" fontId="2" fillId="47" borderId="61" xfId="0" applyNumberFormat="1" applyFont="1" applyFill="1" applyBorder="1" applyAlignment="1" applyProtection="1">
      <alignment horizontal="center" vertical="center"/>
      <protection locked="0"/>
    </xf>
    <xf numFmtId="2" fontId="2" fillId="48" borderId="60" xfId="0" applyNumberFormat="1" applyFont="1" applyFill="1" applyBorder="1" applyAlignment="1" applyProtection="1">
      <alignment horizontal="center" vertical="center"/>
      <protection locked="0"/>
    </xf>
    <xf numFmtId="2" fontId="2" fillId="48" borderId="61" xfId="0" applyNumberFormat="1" applyFont="1" applyFill="1" applyBorder="1" applyAlignment="1" applyProtection="1">
      <alignment horizontal="center" vertical="center"/>
      <protection locked="0"/>
    </xf>
    <xf numFmtId="0" fontId="4" fillId="21" borderId="62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63" xfId="0" applyFont="1" applyFill="1" applyBorder="1" applyAlignment="1" applyProtection="1">
      <alignment horizontal="center" vertical="center"/>
      <protection locked="0"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67" xfId="0" applyFont="1" applyFill="1" applyBorder="1" applyAlignment="1" applyProtection="1">
      <alignment horizontal="center" vertical="center"/>
      <protection locked="0"/>
    </xf>
    <xf numFmtId="0" fontId="30" fillId="0" borderId="50" xfId="0" applyFont="1" applyBorder="1" applyAlignment="1" applyProtection="1">
      <alignment horizontal="center" vertical="center"/>
      <protection/>
    </xf>
    <xf numFmtId="0" fontId="30" fillId="0" borderId="51" xfId="0" applyFont="1" applyBorder="1" applyAlignment="1" applyProtection="1">
      <alignment horizontal="center" vertical="center"/>
      <protection/>
    </xf>
    <xf numFmtId="0" fontId="30" fillId="0" borderId="48" xfId="0" applyFont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/>
      <protection locked="0"/>
    </xf>
    <xf numFmtId="0" fontId="4" fillId="21" borderId="69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47" xfId="0" applyFont="1" applyFill="1" applyBorder="1" applyAlignment="1" applyProtection="1">
      <alignment horizontal="center" vertical="center"/>
      <protection locked="0"/>
    </xf>
    <xf numFmtId="0" fontId="29" fillId="34" borderId="11" xfId="0" applyFont="1" applyFill="1" applyBorder="1" applyAlignment="1" applyProtection="1">
      <alignment horizontal="center" vertical="center" wrapText="1"/>
      <protection/>
    </xf>
    <xf numFmtId="0" fontId="29" fillId="34" borderId="47" xfId="0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horizontal="center" vertical="center" wrapText="1"/>
      <protection/>
    </xf>
    <xf numFmtId="0" fontId="29" fillId="34" borderId="14" xfId="0" applyFont="1" applyFill="1" applyBorder="1" applyAlignment="1" applyProtection="1">
      <alignment horizontal="center" vertical="center" wrapText="1"/>
      <protection/>
    </xf>
    <xf numFmtId="0" fontId="29" fillId="34" borderId="36" xfId="0" applyFont="1" applyFill="1" applyBorder="1" applyAlignment="1" applyProtection="1">
      <alignment horizontal="center" vertical="center" wrapText="1"/>
      <protection/>
    </xf>
    <xf numFmtId="0" fontId="29" fillId="34" borderId="37" xfId="0" applyFont="1" applyFill="1" applyBorder="1" applyAlignment="1" applyProtection="1">
      <alignment horizontal="center" vertical="center" wrapText="1"/>
      <protection/>
    </xf>
    <xf numFmtId="0" fontId="28" fillId="21" borderId="62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63" xfId="0" applyFont="1" applyFill="1" applyBorder="1" applyAlignment="1" applyProtection="1">
      <alignment horizontal="center" vertical="center"/>
      <protection locked="0"/>
    </xf>
    <xf numFmtId="0" fontId="28" fillId="21" borderId="64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65" xfId="0" applyFont="1" applyFill="1" applyBorder="1" applyAlignment="1" applyProtection="1">
      <alignment horizontal="center" vertical="center"/>
      <protection locked="0"/>
    </xf>
    <xf numFmtId="0" fontId="28" fillId="21" borderId="71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72" xfId="0" applyFont="1" applyFill="1" applyBorder="1" applyAlignment="1" applyProtection="1">
      <alignment horizontal="center" vertical="center"/>
      <protection locked="0"/>
    </xf>
    <xf numFmtId="2" fontId="2" fillId="47" borderId="21" xfId="0" applyNumberFormat="1" applyFont="1" applyFill="1" applyBorder="1" applyAlignment="1" applyProtection="1">
      <alignment horizontal="center" vertical="center"/>
      <protection locked="0"/>
    </xf>
    <xf numFmtId="2" fontId="2" fillId="47" borderId="73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2" fontId="2" fillId="49" borderId="60" xfId="0" applyNumberFormat="1" applyFont="1" applyFill="1" applyBorder="1" applyAlignment="1" applyProtection="1">
      <alignment horizontal="center" vertical="center"/>
      <protection locked="0"/>
    </xf>
    <xf numFmtId="2" fontId="2" fillId="49" borderId="61" xfId="0" applyNumberFormat="1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/>
      <protection/>
    </xf>
    <xf numFmtId="0" fontId="31" fillId="35" borderId="49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47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47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47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50" xfId="0" applyFont="1" applyFill="1" applyBorder="1" applyAlignment="1" applyProtection="1">
      <alignment horizontal="center" vertical="center"/>
      <protection/>
    </xf>
    <xf numFmtId="0" fontId="31" fillId="2" borderId="51" xfId="0" applyFont="1" applyFill="1" applyBorder="1" applyAlignment="1" applyProtection="1">
      <alignment horizontal="center" vertical="center"/>
      <protection/>
    </xf>
    <xf numFmtId="0" fontId="31" fillId="2" borderId="48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2" borderId="74" xfId="0" applyFont="1" applyFill="1" applyBorder="1" applyAlignment="1" applyProtection="1">
      <alignment horizontal="center" vertical="center"/>
      <protection locked="0"/>
    </xf>
    <xf numFmtId="0" fontId="30" fillId="2" borderId="51" xfId="0" applyFont="1" applyFill="1" applyBorder="1" applyAlignment="1" applyProtection="1">
      <alignment horizontal="center" vertical="center"/>
      <protection locked="0"/>
    </xf>
    <xf numFmtId="0" fontId="30" fillId="2" borderId="75" xfId="0" applyFont="1" applyFill="1" applyBorder="1" applyAlignment="1" applyProtection="1">
      <alignment horizontal="center" vertical="center"/>
      <protection locked="0"/>
    </xf>
    <xf numFmtId="3" fontId="30" fillId="2" borderId="74" xfId="0" applyNumberFormat="1" applyFont="1" applyFill="1" applyBorder="1" applyAlignment="1" applyProtection="1">
      <alignment horizontal="center" vertical="center"/>
      <protection locked="0"/>
    </xf>
    <xf numFmtId="0" fontId="34" fillId="21" borderId="68" xfId="0" applyFont="1" applyFill="1" applyBorder="1" applyAlignment="1" applyProtection="1">
      <alignment horizontal="center" vertical="center" wrapText="1"/>
      <protection locked="0"/>
    </xf>
    <xf numFmtId="0" fontId="34" fillId="21" borderId="69" xfId="0" applyFont="1" applyFill="1" applyBorder="1" applyAlignment="1" applyProtection="1">
      <alignment horizontal="center" vertical="center" wrapText="1"/>
      <protection locked="0"/>
    </xf>
    <xf numFmtId="0" fontId="30" fillId="2" borderId="76" xfId="0" applyFont="1" applyFill="1" applyBorder="1" applyAlignment="1" applyProtection="1">
      <alignment horizontal="center" vertical="center"/>
      <protection locked="0"/>
    </xf>
    <xf numFmtId="0" fontId="30" fillId="2" borderId="65" xfId="0" applyFont="1" applyFill="1" applyBorder="1" applyAlignment="1" applyProtection="1">
      <alignment horizontal="center" vertical="center"/>
      <protection locked="0"/>
    </xf>
    <xf numFmtId="0" fontId="30" fillId="2" borderId="72" xfId="0" applyFont="1" applyFill="1" applyBorder="1" applyAlignment="1" applyProtection="1">
      <alignment horizontal="center" vertical="center"/>
      <protection locked="0"/>
    </xf>
    <xf numFmtId="0" fontId="2" fillId="41" borderId="29" xfId="0" applyFont="1" applyFill="1" applyBorder="1" applyAlignment="1" applyProtection="1">
      <alignment horizontal="center" vertical="center"/>
      <protection locked="0"/>
    </xf>
    <xf numFmtId="0" fontId="2" fillId="41" borderId="30" xfId="0" applyFont="1" applyFill="1" applyBorder="1" applyAlignment="1" applyProtection="1">
      <alignment horizontal="center" vertical="center"/>
      <protection locked="0"/>
    </xf>
    <xf numFmtId="2" fontId="2" fillId="50" borderId="60" xfId="0" applyNumberFormat="1" applyFont="1" applyFill="1" applyBorder="1" applyAlignment="1" applyProtection="1">
      <alignment horizontal="center" vertical="center"/>
      <protection locked="0"/>
    </xf>
    <xf numFmtId="2" fontId="2" fillId="50" borderId="61" xfId="0" applyNumberFormat="1" applyFont="1" applyFill="1" applyBorder="1" applyAlignment="1" applyProtection="1">
      <alignment horizontal="center" vertical="center"/>
      <protection locked="0"/>
    </xf>
    <xf numFmtId="0" fontId="31" fillId="42" borderId="49" xfId="0" applyFont="1" applyFill="1" applyBorder="1" applyAlignment="1" applyProtection="1">
      <alignment horizontal="center" vertical="center"/>
      <protection/>
    </xf>
    <xf numFmtId="0" fontId="29" fillId="43" borderId="11" xfId="0" applyFont="1" applyFill="1" applyBorder="1" applyAlignment="1" applyProtection="1">
      <alignment horizontal="center" vertical="center" wrapText="1"/>
      <protection/>
    </xf>
    <xf numFmtId="0" fontId="29" fillId="43" borderId="47" xfId="0" applyFont="1" applyFill="1" applyBorder="1" applyAlignment="1" applyProtection="1">
      <alignment horizontal="center" vertical="center" wrapText="1"/>
      <protection/>
    </xf>
    <xf numFmtId="0" fontId="29" fillId="43" borderId="0" xfId="0" applyFont="1" applyFill="1" applyBorder="1" applyAlignment="1" applyProtection="1">
      <alignment horizontal="center" vertical="center" wrapText="1"/>
      <protection/>
    </xf>
    <xf numFmtId="0" fontId="29" fillId="43" borderId="14" xfId="0" applyFont="1" applyFill="1" applyBorder="1" applyAlignment="1" applyProtection="1">
      <alignment horizontal="center" vertical="center" wrapText="1"/>
      <protection/>
    </xf>
    <xf numFmtId="0" fontId="29" fillId="43" borderId="36" xfId="0" applyFont="1" applyFill="1" applyBorder="1" applyAlignment="1" applyProtection="1">
      <alignment horizontal="center" vertical="center" wrapText="1"/>
      <protection/>
    </xf>
    <xf numFmtId="0" fontId="29" fillId="43" borderId="37" xfId="0" applyFont="1" applyFill="1" applyBorder="1" applyAlignment="1" applyProtection="1">
      <alignment horizontal="center" vertical="center" wrapText="1"/>
      <protection/>
    </xf>
    <xf numFmtId="0" fontId="29" fillId="43" borderId="17" xfId="0" applyFont="1" applyFill="1" applyBorder="1" applyAlignment="1" applyProtection="1">
      <alignment horizontal="center" vertical="center" wrapText="1"/>
      <protection/>
    </xf>
    <xf numFmtId="0" fontId="29" fillId="43" borderId="18" xfId="0" applyFont="1" applyFill="1" applyBorder="1" applyAlignment="1" applyProtection="1">
      <alignment horizontal="center" vertical="center" wrapText="1"/>
      <protection/>
    </xf>
    <xf numFmtId="0" fontId="2" fillId="41" borderId="11" xfId="0" applyFont="1" applyFill="1" applyBorder="1" applyAlignment="1" applyProtection="1">
      <alignment horizontal="center" vertical="center"/>
      <protection locked="0"/>
    </xf>
    <xf numFmtId="0" fontId="2" fillId="41" borderId="47" xfId="0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47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57" xfId="0" applyFont="1" applyFill="1" applyBorder="1" applyAlignment="1">
      <alignment horizontal="center" vertical="center" wrapText="1"/>
    </xf>
    <xf numFmtId="0" fontId="4" fillId="21" borderId="58" xfId="0" applyFont="1" applyFill="1" applyBorder="1" applyAlignment="1">
      <alignment horizontal="center" vertical="center" wrapText="1"/>
    </xf>
    <xf numFmtId="0" fontId="4" fillId="21" borderId="59" xfId="0" applyFont="1" applyFill="1" applyBorder="1" applyAlignment="1">
      <alignment horizontal="center" vertical="center" wrapText="1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29" fillId="0" borderId="77" xfId="0" applyFont="1" applyBorder="1" applyAlignment="1">
      <alignment horizontal="center" vertical="center"/>
    </xf>
    <xf numFmtId="0" fontId="36" fillId="18" borderId="46" xfId="0" applyFont="1" applyFill="1" applyBorder="1" applyAlignment="1">
      <alignment horizontal="center" vertical="center"/>
    </xf>
    <xf numFmtId="0" fontId="36" fillId="18" borderId="78" xfId="0" applyFont="1" applyFill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7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0" fillId="0" borderId="79" xfId="0" applyFont="1" applyBorder="1" applyAlignment="1" applyProtection="1">
      <alignment horizontal="center" vertical="center"/>
      <protection/>
    </xf>
    <xf numFmtId="0" fontId="2" fillId="51" borderId="79" xfId="0" applyFont="1" applyFill="1" applyBorder="1" applyAlignment="1" applyProtection="1">
      <alignment horizontal="center" vertical="center" wrapText="1"/>
      <protection locked="0"/>
    </xf>
    <xf numFmtId="0" fontId="2" fillId="51" borderId="40" xfId="0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52" borderId="40" xfId="0" applyFont="1" applyFill="1" applyBorder="1" applyAlignment="1" applyProtection="1">
      <alignment horizontal="center" vertical="center"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39" fillId="6" borderId="78" xfId="0" applyFont="1" applyFill="1" applyBorder="1" applyAlignment="1">
      <alignment horizontal="left" vertical="center" wrapText="1"/>
    </xf>
    <xf numFmtId="0" fontId="39" fillId="6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2">
    <dxf>
      <fill>
        <patternFill>
          <bgColor rgb="FFFFFF99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C2:O16" comment="" totalsRowShown="0">
  <autoFilter ref="C2:O16"/>
  <tableColumns count="13">
    <tableColumn id="1" name="       УЧАСТНИК"/>
    <tableColumn id="2" name="Столбец1"/>
    <tableColumn id="3" name="1 тур"/>
    <tableColumn id="4" name="2 тур"/>
    <tableColumn id="5" name="3 тур"/>
    <tableColumn id="6" name="4 тур"/>
    <tableColumn id="7" name="5 тур"/>
    <tableColumn id="8" name="6 тур"/>
    <tableColumn id="9" name="Столбец2"/>
    <tableColumn id="10" name="Столбец3"/>
    <tableColumn id="11" name="Столбец4"/>
    <tableColumn id="12" name="Столбец5"/>
    <tableColumn id="13" name="Итого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60" zoomScaleNormal="60" zoomScalePageLayoutView="0" workbookViewId="0" topLeftCell="A4">
      <selection activeCell="AG43" sqref="AG43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23.710937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61" width="9.140625" style="22" hidden="1" customWidth="1"/>
    <col min="62" max="62" width="9.140625" style="23" hidden="1" customWidth="1"/>
    <col min="63" max="80" width="9.140625" style="22" hidden="1" customWidth="1"/>
    <col min="81" max="16384" width="9.140625" style="22" customWidth="1"/>
  </cols>
  <sheetData>
    <row r="1" spans="1:38" ht="12.75" customHeight="1">
      <c r="A1" s="237" t="s">
        <v>88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  <c r="L1" s="243" t="s">
        <v>89</v>
      </c>
      <c r="M1" s="244"/>
      <c r="N1" s="244"/>
      <c r="O1" s="244"/>
      <c r="P1" s="244"/>
      <c r="Q1" s="244"/>
      <c r="R1" s="244"/>
      <c r="S1" s="244"/>
      <c r="T1" s="245"/>
      <c r="U1" s="249">
        <v>43119</v>
      </c>
      <c r="V1" s="250"/>
      <c r="W1" s="250"/>
      <c r="X1" s="250"/>
      <c r="Y1" s="250"/>
      <c r="Z1" s="251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2"/>
      <c r="L2" s="246"/>
      <c r="M2" s="247"/>
      <c r="N2" s="247"/>
      <c r="O2" s="247"/>
      <c r="P2" s="247"/>
      <c r="Q2" s="247"/>
      <c r="R2" s="247"/>
      <c r="S2" s="247"/>
      <c r="T2" s="248"/>
      <c r="U2" s="252"/>
      <c r="V2" s="253"/>
      <c r="W2" s="253"/>
      <c r="X2" s="253"/>
      <c r="Y2" s="253"/>
      <c r="Z2" s="254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246"/>
      <c r="M3" s="247"/>
      <c r="N3" s="247"/>
      <c r="O3" s="247"/>
      <c r="P3" s="247"/>
      <c r="Q3" s="247"/>
      <c r="R3" s="247"/>
      <c r="S3" s="247"/>
      <c r="T3" s="248"/>
      <c r="U3" s="252"/>
      <c r="V3" s="253"/>
      <c r="W3" s="253"/>
      <c r="X3" s="253"/>
      <c r="Y3" s="253"/>
      <c r="Z3" s="254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185" t="s">
        <v>16</v>
      </c>
      <c r="B4" s="219" t="s">
        <v>19</v>
      </c>
      <c r="C4" s="220"/>
      <c r="D4" s="220"/>
      <c r="E4" s="221"/>
      <c r="F4" s="57"/>
      <c r="G4" s="204"/>
      <c r="H4" s="205"/>
      <c r="I4" s="57"/>
      <c r="J4" s="204"/>
      <c r="K4" s="205"/>
      <c r="L4" s="57"/>
      <c r="M4" s="204"/>
      <c r="N4" s="205"/>
      <c r="O4" s="57"/>
      <c r="P4" s="204"/>
      <c r="Q4" s="205"/>
      <c r="R4" s="57"/>
      <c r="S4" s="204"/>
      <c r="T4" s="205"/>
      <c r="U4" s="57"/>
      <c r="V4" s="204"/>
      <c r="W4" s="205"/>
      <c r="X4" s="57"/>
      <c r="Y4" s="204"/>
      <c r="Z4" s="205"/>
      <c r="AA4" s="57"/>
      <c r="AB4" s="58"/>
      <c r="AC4" s="59"/>
      <c r="AD4" s="57"/>
      <c r="AE4" s="204"/>
      <c r="AF4" s="205"/>
      <c r="AG4" s="57"/>
      <c r="AH4" s="204"/>
      <c r="AI4" s="205"/>
      <c r="AJ4" s="57"/>
      <c r="AK4" s="204"/>
      <c r="AL4" s="205"/>
      <c r="AM4" s="57"/>
      <c r="AN4" s="204"/>
      <c r="AO4" s="205"/>
      <c r="AP4" s="57"/>
      <c r="AQ4" s="204"/>
      <c r="AR4" s="205"/>
      <c r="AS4" s="111"/>
      <c r="AT4" s="206"/>
      <c r="AU4" s="207"/>
      <c r="AV4" s="208" t="s">
        <v>0</v>
      </c>
      <c r="AW4" s="192" t="s">
        <v>9</v>
      </c>
      <c r="AX4" s="193"/>
      <c r="AY4" s="194"/>
      <c r="AZ4" s="192" t="s">
        <v>1</v>
      </c>
      <c r="BA4" s="185" t="s">
        <v>14</v>
      </c>
      <c r="BB4" s="185" t="s">
        <v>15</v>
      </c>
      <c r="BC4" s="60" t="s">
        <v>10</v>
      </c>
      <c r="BD4" s="181">
        <v>180</v>
      </c>
      <c r="BE4" s="263" t="s">
        <v>21</v>
      </c>
      <c r="BG4" s="258" t="s">
        <v>18</v>
      </c>
      <c r="BH4" s="258" t="s">
        <v>17</v>
      </c>
      <c r="BJ4" s="22"/>
      <c r="BK4" s="55"/>
    </row>
    <row r="5" spans="1:63" ht="18" customHeight="1">
      <c r="A5" s="186"/>
      <c r="B5" s="222"/>
      <c r="C5" s="223"/>
      <c r="D5" s="223"/>
      <c r="E5" s="224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112"/>
      <c r="AT5" s="102">
        <v>14</v>
      </c>
      <c r="AU5" s="113"/>
      <c r="AV5" s="209"/>
      <c r="AW5" s="195"/>
      <c r="AX5" s="196"/>
      <c r="AY5" s="197"/>
      <c r="AZ5" s="195"/>
      <c r="BA5" s="186"/>
      <c r="BB5" s="186"/>
      <c r="BC5" s="30" t="s">
        <v>11</v>
      </c>
      <c r="BD5" s="182"/>
      <c r="BE5" s="264"/>
      <c r="BG5" s="258"/>
      <c r="BH5" s="258"/>
      <c r="BJ5" s="22"/>
      <c r="BK5" s="55"/>
    </row>
    <row r="6" spans="1:64" ht="18" customHeight="1" thickBot="1">
      <c r="A6" s="187"/>
      <c r="B6" s="225"/>
      <c r="C6" s="226"/>
      <c r="D6" s="226"/>
      <c r="E6" s="227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114"/>
      <c r="AT6" s="115"/>
      <c r="AU6" s="116"/>
      <c r="AV6" s="210"/>
      <c r="AW6" s="198"/>
      <c r="AX6" s="199"/>
      <c r="AY6" s="200"/>
      <c r="AZ6" s="198"/>
      <c r="BA6" s="187"/>
      <c r="BB6" s="187"/>
      <c r="BC6" s="37" t="s">
        <v>12</v>
      </c>
      <c r="BD6" s="182"/>
      <c r="BE6" s="264"/>
      <c r="BG6" s="258"/>
      <c r="BH6" s="258"/>
      <c r="BJ6" s="22"/>
      <c r="BK6" s="22" t="s">
        <v>48</v>
      </c>
      <c r="BL6" s="22" t="s">
        <v>49</v>
      </c>
    </row>
    <row r="7" spans="1:80" ht="18" customHeight="1" thickBot="1" thickTop="1">
      <c r="A7" s="234">
        <v>0</v>
      </c>
      <c r="B7" s="84"/>
      <c r="C7" s="166" t="str">
        <f>VLOOKUP(B8,Исходник!$F$3:Исходник!$AY$44,46,FALSE)</f>
        <v>Сущенко Сергей
СФДМ, Москва</v>
      </c>
      <c r="D7" s="166"/>
      <c r="E7" s="167"/>
      <c r="F7" s="26"/>
      <c r="G7" s="211"/>
      <c r="H7" s="211"/>
      <c r="I7" s="38">
        <v>1</v>
      </c>
      <c r="J7" s="188">
        <v>27.83</v>
      </c>
      <c r="K7" s="189"/>
      <c r="L7" s="38"/>
      <c r="M7" s="188">
        <v>20.18</v>
      </c>
      <c r="N7" s="189"/>
      <c r="O7" s="38"/>
      <c r="P7" s="188">
        <v>19.66</v>
      </c>
      <c r="Q7" s="189"/>
      <c r="R7" s="38"/>
      <c r="S7" s="188">
        <v>21.01</v>
      </c>
      <c r="T7" s="189"/>
      <c r="U7" s="38"/>
      <c r="V7" s="188">
        <v>21.66</v>
      </c>
      <c r="W7" s="189"/>
      <c r="X7" s="38"/>
      <c r="Y7" s="188">
        <v>22.77</v>
      </c>
      <c r="Z7" s="189"/>
      <c r="AA7" s="38"/>
      <c r="AB7" s="188">
        <v>20.87</v>
      </c>
      <c r="AC7" s="189"/>
      <c r="AD7" s="38"/>
      <c r="AE7" s="188">
        <v>21.33</v>
      </c>
      <c r="AF7" s="189"/>
      <c r="AG7" s="38"/>
      <c r="AH7" s="188">
        <v>19.01</v>
      </c>
      <c r="AI7" s="189"/>
      <c r="AJ7" s="38"/>
      <c r="AK7" s="188">
        <v>21</v>
      </c>
      <c r="AL7" s="189"/>
      <c r="AM7" s="38"/>
      <c r="AN7" s="188">
        <v>20</v>
      </c>
      <c r="AO7" s="189"/>
      <c r="AP7" s="38"/>
      <c r="AQ7" s="188">
        <v>17.79</v>
      </c>
      <c r="AR7" s="189"/>
      <c r="AS7" s="95"/>
      <c r="AT7" s="190"/>
      <c r="AU7" s="191"/>
      <c r="AV7" s="201">
        <f>COUNTIF(F8:AU8,"в")</f>
        <v>10</v>
      </c>
      <c r="AW7" s="179">
        <f>F8+I8+L8+O8+R8+U8+X8+AA8+AD8+AG8+AJ8+AM8+AP8+AS8</f>
        <v>33</v>
      </c>
      <c r="AX7" s="184" t="s">
        <v>2</v>
      </c>
      <c r="AY7" s="183">
        <f>AU8+AR8+AO8+AL8+AI8+AF8+AC8+Z8+W8+T8+Q8+N8+K8+H8</f>
        <v>15</v>
      </c>
      <c r="AZ7" s="175">
        <f>IF(BL7=0,0,RANK(BL7,$BL$7:$BL$48,0))</f>
        <v>1</v>
      </c>
      <c r="BA7" s="174">
        <f>IF(BL7=0,0,VLOOKUP(AZ7,$BG$7:$BH$48,2,FALSE))</f>
        <v>30</v>
      </c>
      <c r="BB7" s="180">
        <f>A7+BA7</f>
        <v>30</v>
      </c>
      <c r="BC7" s="39">
        <f>AVERAGE(G7,J7,M7,P7,S7,V7,Y7,AB7,AE7,AH7,AK7,AN7,AQ7,AT7)</f>
        <v>21.092499999999998</v>
      </c>
      <c r="BD7" s="173">
        <f>F7+AS7+AP7+AM7+AJ7+AG7+AD7+AA7+X7+U7+R7+O7+L7+I7</f>
        <v>1</v>
      </c>
      <c r="BE7" s="265"/>
      <c r="BG7" s="236">
        <v>1</v>
      </c>
      <c r="BH7" s="236">
        <v>30</v>
      </c>
      <c r="BJ7" s="22"/>
      <c r="BK7" s="164">
        <f>IF((AV7+AW9*0.001)=0,0,AV7+AW9*0.001+1)</f>
        <v>11.018</v>
      </c>
      <c r="BL7" s="165">
        <f>BK7+CB7*0.0001</f>
        <v>11.018</v>
      </c>
      <c r="BM7" s="88"/>
      <c r="BN7" s="89">
        <f>IF(F8&gt;H8,1,0)+(F8-H8)*0.1</f>
        <v>0</v>
      </c>
      <c r="BO7" s="90">
        <f>IF(I8&gt;K8,1,0)+(I8-K8)*0.1</f>
        <v>1.3</v>
      </c>
      <c r="BP7" s="90">
        <f>IF(L8&gt;N8,1,0)+(L8-N8)*0.1</f>
        <v>1.3</v>
      </c>
      <c r="BQ7" s="90">
        <f>IF(O8&gt;Q8,1,0)+(O8-Q8)*0.1</f>
        <v>1.1</v>
      </c>
      <c r="BR7" s="90">
        <f>IF(R8&gt;T8,1,0)+(R8-T8)*0.1</f>
        <v>1.2</v>
      </c>
      <c r="BS7" s="90">
        <f>IF(U8&gt;W8,1,0)+(U8-W8)*0.1</f>
        <v>-0.1</v>
      </c>
      <c r="BT7" s="88">
        <f>IF(X8&gt;Z8,1,0)+(X8-Z8)*0.1</f>
        <v>1.3</v>
      </c>
      <c r="BU7" s="88">
        <f>IF(AA8&gt;AC8,1,0)+(AA8-AC8)*0.1</f>
        <v>1.3</v>
      </c>
      <c r="BV7" s="88">
        <f>IF(AD8&gt;AF8,1,0)+(AD8-AF8)*0.1</f>
        <v>1.1</v>
      </c>
      <c r="BW7" s="88">
        <f>IF(AG8&gt;AI8,1,0)+(AG8-AI8)*0.1</f>
        <v>1.3</v>
      </c>
      <c r="BX7" s="88">
        <f>IF(AJ8&gt;AL8,1,0)+(AJ8-AL8)*0.1</f>
        <v>1.1</v>
      </c>
      <c r="BY7" s="88">
        <f>IF(AM8&gt;AO8,1,0)+(AM8-AO8)*0.1</f>
        <v>-0.2</v>
      </c>
      <c r="BZ7" s="88">
        <f>IF(AP8&gt;AR8,1,0)+(AP8-AR8)*0.1</f>
        <v>1.1</v>
      </c>
      <c r="CA7" s="88">
        <f>IF(AS8&gt;AU8,1,0)+(AS8-AU8)*0.1</f>
        <v>0</v>
      </c>
      <c r="CB7" s="165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34"/>
      <c r="B8" s="85">
        <v>1</v>
      </c>
      <c r="C8" s="168"/>
      <c r="D8" s="168"/>
      <c r="E8" s="169"/>
      <c r="F8" s="40"/>
      <c r="G8" s="28">
        <v>1</v>
      </c>
      <c r="H8" s="41"/>
      <c r="I8" s="42">
        <v>3</v>
      </c>
      <c r="J8" s="120" t="str">
        <f>IF(I8&gt;K8,"в","")</f>
        <v>в</v>
      </c>
      <c r="K8" s="43">
        <v>0</v>
      </c>
      <c r="L8" s="42">
        <v>3</v>
      </c>
      <c r="M8" s="120" t="str">
        <f>IF(L8&gt;N8,"в","")</f>
        <v>в</v>
      </c>
      <c r="N8" s="43">
        <v>0</v>
      </c>
      <c r="O8" s="42">
        <v>3</v>
      </c>
      <c r="P8" s="120" t="str">
        <f>IF(O8&gt;Q8,"в","")</f>
        <v>в</v>
      </c>
      <c r="Q8" s="43">
        <v>2</v>
      </c>
      <c r="R8" s="42">
        <v>3</v>
      </c>
      <c r="S8" s="120" t="str">
        <f>IF(R8&gt;T8,"в","")</f>
        <v>в</v>
      </c>
      <c r="T8" s="43">
        <v>1</v>
      </c>
      <c r="U8" s="42">
        <v>2</v>
      </c>
      <c r="V8" s="122">
        <f>IF(U8&gt;W8,"в","")</f>
      </c>
      <c r="W8" s="43">
        <v>3</v>
      </c>
      <c r="X8" s="42">
        <v>3</v>
      </c>
      <c r="Y8" s="120" t="str">
        <f>IF(X8&gt;Z8,"в","")</f>
        <v>в</v>
      </c>
      <c r="Z8" s="43">
        <v>0</v>
      </c>
      <c r="AA8" s="42">
        <v>3</v>
      </c>
      <c r="AB8" s="120" t="str">
        <f>IF(AA8&gt;AC8,"в","")</f>
        <v>в</v>
      </c>
      <c r="AC8" s="43">
        <v>0</v>
      </c>
      <c r="AD8" s="42">
        <v>3</v>
      </c>
      <c r="AE8" s="120" t="str">
        <f>IF(AD8&gt;AF8,"в","")</f>
        <v>в</v>
      </c>
      <c r="AF8" s="43">
        <v>2</v>
      </c>
      <c r="AG8" s="42">
        <v>3</v>
      </c>
      <c r="AH8" s="120" t="str">
        <f>IF(AG8&gt;AI8,"в","")</f>
        <v>в</v>
      </c>
      <c r="AI8" s="43">
        <v>0</v>
      </c>
      <c r="AJ8" s="42">
        <v>3</v>
      </c>
      <c r="AK8" s="120" t="str">
        <f>IF(AJ8&gt;AL8,"в","")</f>
        <v>в</v>
      </c>
      <c r="AL8" s="43">
        <v>2</v>
      </c>
      <c r="AM8" s="42">
        <v>1</v>
      </c>
      <c r="AN8" s="121">
        <f>IF(AM8&gt;AO8,"в","")</f>
      </c>
      <c r="AO8" s="43">
        <v>3</v>
      </c>
      <c r="AP8" s="42">
        <v>3</v>
      </c>
      <c r="AQ8" s="120" t="str">
        <f>IF(AP8&gt;AR8,"в","")</f>
        <v>в</v>
      </c>
      <c r="AR8" s="43">
        <v>2</v>
      </c>
      <c r="AS8" s="98"/>
      <c r="AT8" s="99">
        <f>IF(AS8&gt;AU8,"в","")</f>
      </c>
      <c r="AU8" s="100"/>
      <c r="AV8" s="202"/>
      <c r="AW8" s="179"/>
      <c r="AX8" s="184"/>
      <c r="AY8" s="183"/>
      <c r="AZ8" s="176"/>
      <c r="BA8" s="174"/>
      <c r="BB8" s="180"/>
      <c r="BC8" s="44">
        <f>BC7*3</f>
        <v>63.27749999999999</v>
      </c>
      <c r="BD8" s="173"/>
      <c r="BE8" s="266"/>
      <c r="BG8" s="236"/>
      <c r="BH8" s="236"/>
      <c r="BJ8" s="22"/>
      <c r="BK8" s="164"/>
      <c r="BL8" s="165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65"/>
    </row>
    <row r="9" spans="1:80" ht="18" customHeight="1" thickBot="1" thickTop="1">
      <c r="A9" s="234"/>
      <c r="B9" s="86"/>
      <c r="C9" s="170"/>
      <c r="D9" s="170"/>
      <c r="E9" s="171"/>
      <c r="F9" s="45"/>
      <c r="G9" s="46"/>
      <c r="H9" s="46"/>
      <c r="I9" s="47">
        <v>22</v>
      </c>
      <c r="J9" s="48">
        <v>15</v>
      </c>
      <c r="K9" s="49">
        <v>17</v>
      </c>
      <c r="L9" s="47">
        <v>23</v>
      </c>
      <c r="M9" s="48">
        <v>29</v>
      </c>
      <c r="N9" s="49">
        <v>20</v>
      </c>
      <c r="O9" s="47">
        <v>20</v>
      </c>
      <c r="P9" s="48">
        <v>25</v>
      </c>
      <c r="Q9" s="49">
        <v>25</v>
      </c>
      <c r="R9" s="47">
        <v>21</v>
      </c>
      <c r="S9" s="48">
        <v>25</v>
      </c>
      <c r="T9" s="49">
        <v>22</v>
      </c>
      <c r="U9" s="47">
        <v>23</v>
      </c>
      <c r="V9" s="48">
        <v>19</v>
      </c>
      <c r="W9" s="49"/>
      <c r="X9" s="47">
        <v>21</v>
      </c>
      <c r="Y9" s="48">
        <v>27</v>
      </c>
      <c r="Z9" s="49">
        <v>18</v>
      </c>
      <c r="AA9" s="47">
        <v>20</v>
      </c>
      <c r="AB9" s="48">
        <v>23</v>
      </c>
      <c r="AC9" s="49">
        <v>29</v>
      </c>
      <c r="AD9" s="47">
        <v>23</v>
      </c>
      <c r="AE9" s="48">
        <v>26</v>
      </c>
      <c r="AF9" s="49">
        <v>26</v>
      </c>
      <c r="AG9" s="47">
        <v>24</v>
      </c>
      <c r="AH9" s="48">
        <v>25</v>
      </c>
      <c r="AI9" s="49">
        <v>30</v>
      </c>
      <c r="AJ9" s="47">
        <v>22</v>
      </c>
      <c r="AK9" s="48">
        <v>18</v>
      </c>
      <c r="AL9" s="49">
        <v>23</v>
      </c>
      <c r="AM9" s="47">
        <v>19</v>
      </c>
      <c r="AN9" s="48"/>
      <c r="AO9" s="49"/>
      <c r="AP9" s="47">
        <v>28</v>
      </c>
      <c r="AQ9" s="48">
        <v>29</v>
      </c>
      <c r="AR9" s="49">
        <v>22</v>
      </c>
      <c r="AS9" s="117"/>
      <c r="AT9" s="118"/>
      <c r="AU9" s="119"/>
      <c r="AV9" s="203"/>
      <c r="AW9" s="178">
        <f>AW7-AY7</f>
        <v>18</v>
      </c>
      <c r="AX9" s="178"/>
      <c r="AY9" s="178"/>
      <c r="AZ9" s="177"/>
      <c r="BA9" s="174"/>
      <c r="BB9" s="180"/>
      <c r="BC9" s="50">
        <f>AVERAGE(F9:AU9)</f>
        <v>23</v>
      </c>
      <c r="BD9" s="173"/>
      <c r="BE9" s="267"/>
      <c r="BG9" s="236"/>
      <c r="BH9" s="236"/>
      <c r="BJ9" s="22"/>
      <c r="BK9" s="164"/>
      <c r="BL9" s="165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65"/>
    </row>
    <row r="10" spans="1:80" ht="18" customHeight="1" thickBot="1" thickTop="1">
      <c r="A10" s="234">
        <v>0</v>
      </c>
      <c r="B10" s="84"/>
      <c r="C10" s="166" t="str">
        <f>VLOOKUP(B11,Исходник!$F$3:Исходник!$AY$44,46,FALSE)</f>
        <v>Новоселов Павел
СФДМ, Москва</v>
      </c>
      <c r="D10" s="166"/>
      <c r="E10" s="167"/>
      <c r="F10" s="51"/>
      <c r="G10" s="188">
        <v>19.61</v>
      </c>
      <c r="H10" s="189"/>
      <c r="I10" s="25"/>
      <c r="J10" s="211"/>
      <c r="K10" s="212"/>
      <c r="L10" s="38"/>
      <c r="M10" s="188">
        <v>18.73</v>
      </c>
      <c r="N10" s="189"/>
      <c r="O10" s="38"/>
      <c r="P10" s="188">
        <v>21.22</v>
      </c>
      <c r="Q10" s="189"/>
      <c r="R10" s="38"/>
      <c r="S10" s="188">
        <v>22.41</v>
      </c>
      <c r="T10" s="189"/>
      <c r="U10" s="38"/>
      <c r="V10" s="188">
        <v>22.77</v>
      </c>
      <c r="W10" s="189"/>
      <c r="X10" s="38"/>
      <c r="Y10" s="188">
        <v>18.91</v>
      </c>
      <c r="Z10" s="189"/>
      <c r="AA10" s="38"/>
      <c r="AB10" s="188">
        <v>25.47</v>
      </c>
      <c r="AC10" s="189"/>
      <c r="AD10" s="38"/>
      <c r="AE10" s="188">
        <v>22.01</v>
      </c>
      <c r="AF10" s="189"/>
      <c r="AG10" s="38"/>
      <c r="AH10" s="188">
        <v>18.94</v>
      </c>
      <c r="AI10" s="189"/>
      <c r="AJ10" s="38"/>
      <c r="AK10" s="188">
        <v>22.75</v>
      </c>
      <c r="AL10" s="189"/>
      <c r="AM10" s="38"/>
      <c r="AN10" s="188">
        <v>21.37</v>
      </c>
      <c r="AO10" s="189"/>
      <c r="AP10" s="38"/>
      <c r="AQ10" s="188">
        <v>20.88</v>
      </c>
      <c r="AR10" s="189"/>
      <c r="AS10" s="95"/>
      <c r="AT10" s="190"/>
      <c r="AU10" s="191"/>
      <c r="AV10" s="201">
        <f>COUNTIF(F11:AU11,"в")</f>
        <v>7</v>
      </c>
      <c r="AW10" s="179">
        <f>F11+I11+L11+O11+R11+U11+X11+AA11+AD11+AG11+AJ11+AM11+AP11+AS11</f>
        <v>26</v>
      </c>
      <c r="AX10" s="184" t="s">
        <v>2</v>
      </c>
      <c r="AY10" s="183">
        <f>AU11+AR11+AO11+AL11+AI11+AF11+AC11+Z11+W11+T11+Q11+N11+K11+H11</f>
        <v>22</v>
      </c>
      <c r="AZ10" s="175">
        <f>IF(BL10=0,0,RANK(BL10,$BL$7:$BL$48,0))</f>
        <v>5</v>
      </c>
      <c r="BA10" s="174">
        <f>IF(BL10=0,0,VLOOKUP(AZ10,$BG$7:$BH$48,2,FALSE))</f>
        <v>17</v>
      </c>
      <c r="BB10" s="180">
        <f>A10+BA10</f>
        <v>17</v>
      </c>
      <c r="BC10" s="39">
        <f>AVERAGE(G10,J10,M10,P10,S10,V10,Y10,AB10,AE10,AH10,AK10,AN10,AQ10,AT10)</f>
        <v>21.25583333333333</v>
      </c>
      <c r="BD10" s="172">
        <f>F10+AS10+AP10+AM10+AJ10+AG10+AD10+AA10+X10+U10+R10+O10+L10+I10</f>
        <v>0</v>
      </c>
      <c r="BE10" s="259"/>
      <c r="BG10" s="236">
        <v>2</v>
      </c>
      <c r="BH10" s="236">
        <v>26</v>
      </c>
      <c r="BJ10" s="22"/>
      <c r="BK10" s="164">
        <f>IF((AV10+AW12*0.001)=0,0,AV10+AW12*0.001+1)</f>
        <v>8.004</v>
      </c>
      <c r="BL10" s="165">
        <f>BK10+CB10*0.0001</f>
        <v>8.0041</v>
      </c>
      <c r="BM10" s="88"/>
      <c r="BN10" s="89">
        <f>IF(I11&gt;K11,1,0)+(I11-K11)*0.1</f>
        <v>0</v>
      </c>
      <c r="BO10" s="90">
        <f>IF(L11&gt;N11,1,0)+(L11-N11)*0.1</f>
        <v>1.1</v>
      </c>
      <c r="BP10" s="90">
        <f>IF(O11&gt;Q11,1,0)+(O11-Q11)*0.1</f>
        <v>-0.2</v>
      </c>
      <c r="BQ10" s="90">
        <f>IF(R11&gt;T11,1,0)+(R11-T11)*0.1</f>
        <v>1.2</v>
      </c>
      <c r="BR10" s="90">
        <f>IF(U11&gt;W11,1,0)+(U11-W11)*0.1</f>
        <v>1.3</v>
      </c>
      <c r="BS10" s="90">
        <f>IF(X11&gt;Z11,1,0)+(X11-Z11)*0.1</f>
        <v>-0.2</v>
      </c>
      <c r="BT10" s="90">
        <f>IF(AA11&gt;AC11,1,0)+(AA11-AC11)*0.1</f>
        <v>1.3</v>
      </c>
      <c r="BU10" s="90">
        <f>IF(AD11&gt;AF11,1,0)+(AD11-AF11)*0.1</f>
        <v>-0.1</v>
      </c>
      <c r="BV10" s="90">
        <f>IF(AG11&gt;AI11,1,0)+(AG11-AI11)*0.1</f>
        <v>1.2</v>
      </c>
      <c r="BW10" s="90">
        <f>IF(AJ11&gt;AL11,1,0)+(AJ11-AL11)*0.1</f>
        <v>1.1</v>
      </c>
      <c r="BX10" s="90">
        <f>IF(AM11&gt;AO11,1,0)+(AM11-AO11)*0.1</f>
        <v>1.2</v>
      </c>
      <c r="BY10" s="90">
        <f>IF(AP11&gt;AR11,1,0)+(AP11-AR11)*0.1</f>
        <v>-0.2</v>
      </c>
      <c r="BZ10" s="90">
        <f>IF(AS11&gt;AU11,1,0)+(AS11-AU11)*0.1</f>
        <v>0</v>
      </c>
      <c r="CA10" s="90">
        <f>IF(F11&gt;H11,1,0)+(F11-H11)*0.1</f>
        <v>-0.30000000000000004</v>
      </c>
      <c r="CB10" s="165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1</v>
      </c>
    </row>
    <row r="11" spans="1:80" ht="18" customHeight="1" thickBot="1" thickTop="1">
      <c r="A11" s="234"/>
      <c r="B11" s="85">
        <v>2</v>
      </c>
      <c r="C11" s="168"/>
      <c r="D11" s="168"/>
      <c r="E11" s="169"/>
      <c r="F11" s="42">
        <f>K8</f>
        <v>0</v>
      </c>
      <c r="G11" s="122">
        <f>IF(F11&gt;H11,"в","")</f>
      </c>
      <c r="H11" s="43">
        <f>I8</f>
        <v>3</v>
      </c>
      <c r="I11" s="40"/>
      <c r="J11" s="28">
        <v>2</v>
      </c>
      <c r="K11" s="52"/>
      <c r="L11" s="42">
        <v>3</v>
      </c>
      <c r="M11" s="120" t="str">
        <f>IF(L11&gt;N11,"в","")</f>
        <v>в</v>
      </c>
      <c r="N11" s="43">
        <v>2</v>
      </c>
      <c r="O11" s="42">
        <v>1</v>
      </c>
      <c r="P11" s="122">
        <f>IF(O11&gt;Q11,"в","")</f>
      </c>
      <c r="Q11" s="43">
        <v>3</v>
      </c>
      <c r="R11" s="42">
        <v>3</v>
      </c>
      <c r="S11" s="120" t="str">
        <f>IF(R11&gt;T11,"в","")</f>
        <v>в</v>
      </c>
      <c r="T11" s="43">
        <v>1</v>
      </c>
      <c r="U11" s="42">
        <v>3</v>
      </c>
      <c r="V11" s="120" t="str">
        <f>IF(U11&gt;W11,"в","")</f>
        <v>в</v>
      </c>
      <c r="W11" s="43">
        <v>0</v>
      </c>
      <c r="X11" s="42">
        <v>1</v>
      </c>
      <c r="Y11" s="122">
        <f>IF(X11&gt;Z11,"в","")</f>
      </c>
      <c r="Z11" s="43">
        <v>3</v>
      </c>
      <c r="AA11" s="42">
        <v>3</v>
      </c>
      <c r="AB11" s="120" t="str">
        <f>IF(AA11&gt;AC11,"в","")</f>
        <v>в</v>
      </c>
      <c r="AC11" s="43">
        <v>0</v>
      </c>
      <c r="AD11" s="42">
        <v>2</v>
      </c>
      <c r="AE11" s="122">
        <f>IF(AD11&gt;AF11,"в","")</f>
      </c>
      <c r="AF11" s="43">
        <v>3</v>
      </c>
      <c r="AG11" s="42">
        <v>3</v>
      </c>
      <c r="AH11" s="120" t="str">
        <f>IF(AG11&gt;AI11,"в","")</f>
        <v>в</v>
      </c>
      <c r="AI11" s="43">
        <v>1</v>
      </c>
      <c r="AJ11" s="42">
        <v>3</v>
      </c>
      <c r="AK11" s="120" t="str">
        <f>IF(AJ11&gt;AL11,"в","")</f>
        <v>в</v>
      </c>
      <c r="AL11" s="43">
        <v>2</v>
      </c>
      <c r="AM11" s="42">
        <v>3</v>
      </c>
      <c r="AN11" s="120" t="str">
        <f>IF(AM11&gt;AO11,"в","")</f>
        <v>в</v>
      </c>
      <c r="AO11" s="43">
        <v>1</v>
      </c>
      <c r="AP11" s="42">
        <v>1</v>
      </c>
      <c r="AQ11" s="122">
        <f>IF(AP11&gt;AR11,"в","")</f>
      </c>
      <c r="AR11" s="43">
        <v>3</v>
      </c>
      <c r="AS11" s="98"/>
      <c r="AT11" s="99">
        <f>IF(AS11&gt;AU11,"в","")</f>
      </c>
      <c r="AU11" s="100"/>
      <c r="AV11" s="202"/>
      <c r="AW11" s="179"/>
      <c r="AX11" s="184"/>
      <c r="AY11" s="183"/>
      <c r="AZ11" s="176"/>
      <c r="BA11" s="174"/>
      <c r="BB11" s="180"/>
      <c r="BC11" s="44">
        <f>BC10*3</f>
        <v>63.7675</v>
      </c>
      <c r="BD11" s="173"/>
      <c r="BE11" s="260"/>
      <c r="BG11" s="236"/>
      <c r="BH11" s="236"/>
      <c r="BJ11" s="22"/>
      <c r="BK11" s="164"/>
      <c r="BL11" s="165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65"/>
    </row>
    <row r="12" spans="1:80" ht="18" customHeight="1" thickBot="1" thickTop="1">
      <c r="A12" s="234"/>
      <c r="B12" s="86"/>
      <c r="C12" s="170"/>
      <c r="D12" s="170"/>
      <c r="E12" s="171"/>
      <c r="F12" s="47"/>
      <c r="G12" s="48"/>
      <c r="H12" s="49"/>
      <c r="I12" s="45"/>
      <c r="J12" s="46"/>
      <c r="K12" s="53"/>
      <c r="L12" s="47">
        <v>19</v>
      </c>
      <c r="M12" s="48">
        <v>21</v>
      </c>
      <c r="N12" s="49">
        <v>22</v>
      </c>
      <c r="O12" s="47">
        <v>18</v>
      </c>
      <c r="P12" s="48"/>
      <c r="Q12" s="49"/>
      <c r="R12" s="47">
        <v>19</v>
      </c>
      <c r="S12" s="48">
        <v>22</v>
      </c>
      <c r="T12" s="49">
        <v>20</v>
      </c>
      <c r="U12" s="47">
        <v>26</v>
      </c>
      <c r="V12" s="48">
        <v>21</v>
      </c>
      <c r="W12" s="49">
        <v>19</v>
      </c>
      <c r="X12" s="47">
        <v>23</v>
      </c>
      <c r="Y12" s="48"/>
      <c r="Z12" s="49"/>
      <c r="AA12" s="47">
        <v>24</v>
      </c>
      <c r="AB12" s="48">
        <v>19</v>
      </c>
      <c r="AC12" s="49">
        <v>16</v>
      </c>
      <c r="AD12" s="47">
        <v>23</v>
      </c>
      <c r="AE12" s="48">
        <v>23</v>
      </c>
      <c r="AF12" s="49"/>
      <c r="AG12" s="47">
        <v>25</v>
      </c>
      <c r="AH12" s="48">
        <v>27</v>
      </c>
      <c r="AI12" s="49">
        <v>23</v>
      </c>
      <c r="AJ12" s="47">
        <v>21</v>
      </c>
      <c r="AK12" s="48">
        <v>25</v>
      </c>
      <c r="AL12" s="49">
        <v>18</v>
      </c>
      <c r="AM12" s="47">
        <v>18</v>
      </c>
      <c r="AN12" s="48">
        <v>21</v>
      </c>
      <c r="AO12" s="49">
        <v>23</v>
      </c>
      <c r="AP12" s="47">
        <v>21</v>
      </c>
      <c r="AQ12" s="48"/>
      <c r="AR12" s="49"/>
      <c r="AS12" s="117"/>
      <c r="AT12" s="118"/>
      <c r="AU12" s="119"/>
      <c r="AV12" s="203"/>
      <c r="AW12" s="178">
        <f>AW10-AY10</f>
        <v>4</v>
      </c>
      <c r="AX12" s="178"/>
      <c r="AY12" s="178"/>
      <c r="AZ12" s="177"/>
      <c r="BA12" s="174"/>
      <c r="BB12" s="180"/>
      <c r="BC12" s="50">
        <f>AVERAGE(F12:AU12)</f>
        <v>21.423076923076923</v>
      </c>
      <c r="BD12" s="173"/>
      <c r="BE12" s="261"/>
      <c r="BG12" s="236"/>
      <c r="BH12" s="236"/>
      <c r="BJ12" s="22"/>
      <c r="BK12" s="164"/>
      <c r="BL12" s="165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65"/>
    </row>
    <row r="13" spans="1:80" ht="18" customHeight="1" thickBot="1" thickTop="1">
      <c r="A13" s="234">
        <v>0</v>
      </c>
      <c r="B13" s="84"/>
      <c r="C13" s="166" t="str">
        <f>VLOOKUP(B14,Исходник!$F$3:Исходник!$AY$44,46,FALSE)</f>
        <v>Клочек Ксения
СФДМ, Москва</v>
      </c>
      <c r="D13" s="166"/>
      <c r="E13" s="167"/>
      <c r="F13" s="38"/>
      <c r="G13" s="232">
        <v>15.27</v>
      </c>
      <c r="H13" s="233"/>
      <c r="I13" s="38"/>
      <c r="J13" s="188">
        <v>18.72</v>
      </c>
      <c r="K13" s="189"/>
      <c r="L13" s="26"/>
      <c r="M13" s="211"/>
      <c r="N13" s="212"/>
      <c r="O13" s="38"/>
      <c r="P13" s="188">
        <v>17.71</v>
      </c>
      <c r="Q13" s="189"/>
      <c r="R13" s="38"/>
      <c r="S13" s="188">
        <v>18.65</v>
      </c>
      <c r="T13" s="189"/>
      <c r="U13" s="38"/>
      <c r="V13" s="188">
        <v>17.48</v>
      </c>
      <c r="W13" s="189"/>
      <c r="X13" s="38">
        <v>1</v>
      </c>
      <c r="Y13" s="188">
        <v>19.16</v>
      </c>
      <c r="Z13" s="189"/>
      <c r="AA13" s="38"/>
      <c r="AB13" s="188">
        <v>16.53</v>
      </c>
      <c r="AC13" s="189"/>
      <c r="AD13" s="38"/>
      <c r="AE13" s="188">
        <v>17.94</v>
      </c>
      <c r="AF13" s="189"/>
      <c r="AG13" s="38"/>
      <c r="AH13" s="188">
        <v>19.11</v>
      </c>
      <c r="AI13" s="189"/>
      <c r="AJ13" s="38"/>
      <c r="AK13" s="188">
        <v>16.33</v>
      </c>
      <c r="AL13" s="189"/>
      <c r="AM13" s="38"/>
      <c r="AN13" s="188">
        <v>16.21</v>
      </c>
      <c r="AO13" s="189"/>
      <c r="AP13" s="38"/>
      <c r="AQ13" s="188">
        <v>15.88</v>
      </c>
      <c r="AR13" s="189"/>
      <c r="AS13" s="95"/>
      <c r="AT13" s="190"/>
      <c r="AU13" s="191"/>
      <c r="AV13" s="201">
        <f>COUNTIF(F14:AU14,"в")</f>
        <v>2</v>
      </c>
      <c r="AW13" s="179">
        <f>F14+I14+L14+O14+R14+U14+X14+AA14+AD14+AG14+AJ14+AM14+AP14+AS14</f>
        <v>15</v>
      </c>
      <c r="AX13" s="184" t="s">
        <v>2</v>
      </c>
      <c r="AY13" s="183">
        <f>AU14+AR14+AO14+AL14+AI14+AF14+AC14+Z14+W14+T14+Q14+N14+K14+H14</f>
        <v>33</v>
      </c>
      <c r="AZ13" s="175">
        <f>IF(BL13=0,0,RANK(BL13,$BL$7:$BL$48,0))</f>
        <v>13</v>
      </c>
      <c r="BA13" s="174">
        <f>IF(BL13=0,0,VLOOKUP(AZ13,$BG$7:$BH$48,2,FALSE))</f>
        <v>5</v>
      </c>
      <c r="BB13" s="180">
        <f>A13+BA13</f>
        <v>5</v>
      </c>
      <c r="BC13" s="39">
        <f>AVERAGE(G13,J13,M13,P13,S13,V13,Y13,AB13,AE13,AH13,AK13,AN13,AQ13,AT13)</f>
        <v>17.41583333333333</v>
      </c>
      <c r="BD13" s="172">
        <f>F13+AS13+AP13+AM13+AJ13+AG13+AD13+AA13+X13+U13+R13+O13+L13+I13</f>
        <v>1</v>
      </c>
      <c r="BE13" s="259"/>
      <c r="BG13" s="236">
        <v>3</v>
      </c>
      <c r="BH13" s="236">
        <v>23</v>
      </c>
      <c r="BJ13" s="22"/>
      <c r="BK13" s="164">
        <f>IF((AV13+AW15*0.001)=0,0,AV13+AW15*0.001+1)</f>
        <v>2.982</v>
      </c>
      <c r="BL13" s="165">
        <f>BK13+CB13*0.0001</f>
        <v>2.982</v>
      </c>
      <c r="BM13" s="88"/>
      <c r="BN13" s="89">
        <f>IF(L14&gt;N14,1,0)+(L14-N14)*0.1</f>
        <v>0</v>
      </c>
      <c r="BO13" s="90">
        <f>IF(O14&gt;Q14,1,0)+(O14-Q14)*0.1</f>
        <v>-0.1</v>
      </c>
      <c r="BP13" s="90">
        <f>IF(R14&gt;T14,1,0)+(R14-T14)*0.1</f>
        <v>-0.30000000000000004</v>
      </c>
      <c r="BQ13" s="90">
        <f>IF(U14&gt;W14,1,0)+(U14-W14)*0.1</f>
        <v>-0.2</v>
      </c>
      <c r="BR13" s="90">
        <f>IF(X14&gt;Z14,1,0)+(X14-Z14)*0.1</f>
        <v>-0.30000000000000004</v>
      </c>
      <c r="BS13" s="90">
        <f>IF(AA14&gt;AC14,1,0)+(AA14-AC14)*0.1</f>
        <v>1.2</v>
      </c>
      <c r="BT13" s="90">
        <f>IF(AD14&gt;AF14,1,0)+(AD14-AF14)*0.1</f>
        <v>-0.30000000000000004</v>
      </c>
      <c r="BU13" s="90">
        <f>IF(AG14&gt;AI14,1,0)+(AG14-AI14)*0.1</f>
        <v>1.1</v>
      </c>
      <c r="BV13" s="90">
        <f>IF(AJ14&gt;AL14,1,0)+(AJ14-AL14)*0.1</f>
        <v>-0.1</v>
      </c>
      <c r="BW13" s="90">
        <f>IF(AM14&gt;AO14,1,0)+(AM14-AO14)*0.1</f>
        <v>-0.30000000000000004</v>
      </c>
      <c r="BX13" s="90">
        <f>IF(AP14&gt;AR14,1,0)+(AP14-AR14)*0.1</f>
        <v>-0.1</v>
      </c>
      <c r="BY13" s="90">
        <f>IF(AS14&gt;AU14,1,0)+(AS14-AU14)*0.1</f>
        <v>0</v>
      </c>
      <c r="BZ13" s="90">
        <f>IF(F14&gt;H14,1,0)+(F14-H14)*0.1</f>
        <v>-0.30000000000000004</v>
      </c>
      <c r="CA13" s="90">
        <f>IF(I14&gt;K14,1,0)+(I14-K14)*0.1</f>
        <v>-0.1</v>
      </c>
      <c r="CB13" s="165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34"/>
      <c r="B14" s="85">
        <v>3</v>
      </c>
      <c r="C14" s="168"/>
      <c r="D14" s="168"/>
      <c r="E14" s="169"/>
      <c r="F14" s="42">
        <f>N8</f>
        <v>0</v>
      </c>
      <c r="G14" s="56">
        <f>IF(F14&gt;H14,"в","")</f>
      </c>
      <c r="H14" s="43">
        <f>L8</f>
        <v>3</v>
      </c>
      <c r="I14" s="124">
        <f>N11</f>
        <v>2</v>
      </c>
      <c r="J14" s="122">
        <f>IF(I14&gt;K14,"в","")</f>
      </c>
      <c r="K14" s="43">
        <f>L11</f>
        <v>3</v>
      </c>
      <c r="L14" s="40"/>
      <c r="M14" s="54" t="s">
        <v>13</v>
      </c>
      <c r="N14" s="52"/>
      <c r="O14" s="42">
        <v>2</v>
      </c>
      <c r="P14" s="122">
        <f>IF(O14&gt;Q14,"в","")</f>
      </c>
      <c r="Q14" s="43">
        <v>3</v>
      </c>
      <c r="R14" s="42">
        <v>0</v>
      </c>
      <c r="S14" s="122">
        <f>IF(R14&gt;T14,"в","")</f>
      </c>
      <c r="T14" s="43">
        <v>3</v>
      </c>
      <c r="U14" s="42">
        <v>1</v>
      </c>
      <c r="V14" s="122">
        <f>IF(U14&gt;W14,"в","")</f>
      </c>
      <c r="W14" s="43">
        <v>3</v>
      </c>
      <c r="X14" s="42">
        <v>0</v>
      </c>
      <c r="Y14" s="122">
        <f>IF(X14&gt;Z14,"в","")</f>
      </c>
      <c r="Z14" s="43">
        <v>3</v>
      </c>
      <c r="AA14" s="42">
        <v>3</v>
      </c>
      <c r="AB14" s="120" t="str">
        <f>IF(AA14&gt;AC14,"в","")</f>
        <v>в</v>
      </c>
      <c r="AC14" s="43">
        <v>1</v>
      </c>
      <c r="AD14" s="42">
        <v>0</v>
      </c>
      <c r="AE14" s="122">
        <f>IF(AD14&gt;AF14,"в","")</f>
      </c>
      <c r="AF14" s="43">
        <v>3</v>
      </c>
      <c r="AG14" s="42">
        <v>3</v>
      </c>
      <c r="AH14" s="120" t="str">
        <f>IF(AG14&gt;AI14,"в","")</f>
        <v>в</v>
      </c>
      <c r="AI14" s="43">
        <v>2</v>
      </c>
      <c r="AJ14" s="42">
        <v>2</v>
      </c>
      <c r="AK14" s="122">
        <f>IF(AJ14&gt;AL14,"в","")</f>
      </c>
      <c r="AL14" s="43">
        <v>3</v>
      </c>
      <c r="AM14" s="42">
        <v>0</v>
      </c>
      <c r="AN14" s="122">
        <f>IF(AM14&gt;AO14,"в","")</f>
      </c>
      <c r="AO14" s="43">
        <v>3</v>
      </c>
      <c r="AP14" s="42">
        <v>2</v>
      </c>
      <c r="AQ14" s="122">
        <f>IF(AP14&gt;AR14,"в","")</f>
      </c>
      <c r="AR14" s="43">
        <v>3</v>
      </c>
      <c r="AS14" s="98"/>
      <c r="AT14" s="99">
        <f>IF(AS14&gt;AU14,"в","")</f>
      </c>
      <c r="AU14" s="100"/>
      <c r="AV14" s="202"/>
      <c r="AW14" s="179"/>
      <c r="AX14" s="184"/>
      <c r="AY14" s="183"/>
      <c r="AZ14" s="176"/>
      <c r="BA14" s="174"/>
      <c r="BB14" s="180"/>
      <c r="BC14" s="44">
        <f>BC13*3</f>
        <v>52.247499999999995</v>
      </c>
      <c r="BD14" s="173"/>
      <c r="BE14" s="260"/>
      <c r="BG14" s="236"/>
      <c r="BH14" s="236"/>
      <c r="BJ14" s="22"/>
      <c r="BK14" s="164"/>
      <c r="BL14" s="165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65"/>
    </row>
    <row r="15" spans="1:80" ht="18" customHeight="1" thickBot="1" thickTop="1">
      <c r="A15" s="234"/>
      <c r="B15" s="86"/>
      <c r="C15" s="170"/>
      <c r="D15" s="170"/>
      <c r="E15" s="171"/>
      <c r="F15" s="47"/>
      <c r="G15" s="48"/>
      <c r="H15" s="49"/>
      <c r="I15" s="47">
        <v>20</v>
      </c>
      <c r="J15" s="48">
        <v>21</v>
      </c>
      <c r="K15" s="49"/>
      <c r="L15" s="45"/>
      <c r="M15" s="46"/>
      <c r="N15" s="53"/>
      <c r="O15" s="47">
        <v>19</v>
      </c>
      <c r="P15" s="48">
        <v>32</v>
      </c>
      <c r="Q15" s="49"/>
      <c r="R15" s="47"/>
      <c r="S15" s="48"/>
      <c r="T15" s="49"/>
      <c r="U15" s="47">
        <v>29</v>
      </c>
      <c r="V15" s="48"/>
      <c r="W15" s="49"/>
      <c r="X15" s="47"/>
      <c r="Y15" s="48"/>
      <c r="Z15" s="49"/>
      <c r="AA15" s="47">
        <v>43</v>
      </c>
      <c r="AB15" s="48">
        <v>24</v>
      </c>
      <c r="AC15" s="49">
        <v>21</v>
      </c>
      <c r="AD15" s="47"/>
      <c r="AE15" s="48"/>
      <c r="AF15" s="49"/>
      <c r="AG15" s="47">
        <v>25</v>
      </c>
      <c r="AH15" s="48">
        <v>26</v>
      </c>
      <c r="AI15" s="49">
        <v>29</v>
      </c>
      <c r="AJ15" s="47">
        <v>31</v>
      </c>
      <c r="AK15" s="48">
        <v>24</v>
      </c>
      <c r="AL15" s="49"/>
      <c r="AM15" s="47"/>
      <c r="AN15" s="48"/>
      <c r="AO15" s="49"/>
      <c r="AP15" s="47">
        <v>36</v>
      </c>
      <c r="AQ15" s="48">
        <v>29</v>
      </c>
      <c r="AR15" s="49"/>
      <c r="AS15" s="117"/>
      <c r="AT15" s="118"/>
      <c r="AU15" s="119"/>
      <c r="AV15" s="203"/>
      <c r="AW15" s="178">
        <f>AW13-AY13</f>
        <v>-18</v>
      </c>
      <c r="AX15" s="178"/>
      <c r="AY15" s="178"/>
      <c r="AZ15" s="177"/>
      <c r="BA15" s="174"/>
      <c r="BB15" s="180"/>
      <c r="BC15" s="50">
        <f>AVERAGE(F15:AU15)</f>
        <v>27.266666666666666</v>
      </c>
      <c r="BD15" s="173"/>
      <c r="BE15" s="261"/>
      <c r="BG15" s="236"/>
      <c r="BH15" s="236"/>
      <c r="BJ15" s="22"/>
      <c r="BK15" s="164"/>
      <c r="BL15" s="165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65"/>
    </row>
    <row r="16" spans="1:80" ht="18" customHeight="1" thickBot="1" thickTop="1">
      <c r="A16" s="234">
        <v>0</v>
      </c>
      <c r="B16" s="84"/>
      <c r="C16" s="166" t="str">
        <f>VLOOKUP(B17,Исходник!$F$3:Исходник!$AY$44,46,FALSE)</f>
        <v>Конюхов Александр
СФДМ, Москва</v>
      </c>
      <c r="D16" s="166"/>
      <c r="E16" s="167"/>
      <c r="F16" s="38"/>
      <c r="G16" s="188">
        <v>16.53</v>
      </c>
      <c r="H16" s="189"/>
      <c r="I16" s="51"/>
      <c r="J16" s="188">
        <v>19.18</v>
      </c>
      <c r="K16" s="189"/>
      <c r="L16" s="51"/>
      <c r="M16" s="188">
        <v>16.66</v>
      </c>
      <c r="N16" s="189"/>
      <c r="O16" s="26"/>
      <c r="P16" s="211"/>
      <c r="Q16" s="212"/>
      <c r="R16" s="38"/>
      <c r="S16" s="188">
        <v>18.32</v>
      </c>
      <c r="T16" s="189"/>
      <c r="U16" s="38"/>
      <c r="V16" s="188">
        <v>18.5</v>
      </c>
      <c r="W16" s="189"/>
      <c r="X16" s="38"/>
      <c r="Y16" s="188">
        <v>18.5</v>
      </c>
      <c r="Z16" s="189"/>
      <c r="AA16" s="38"/>
      <c r="AB16" s="188">
        <v>19.01</v>
      </c>
      <c r="AC16" s="189"/>
      <c r="AD16" s="38"/>
      <c r="AE16" s="188">
        <v>15.33</v>
      </c>
      <c r="AF16" s="189"/>
      <c r="AG16" s="38"/>
      <c r="AH16" s="188">
        <v>18.53</v>
      </c>
      <c r="AI16" s="189"/>
      <c r="AJ16" s="38"/>
      <c r="AK16" s="188">
        <v>17.75</v>
      </c>
      <c r="AL16" s="189"/>
      <c r="AM16" s="38"/>
      <c r="AN16" s="188">
        <v>20.04</v>
      </c>
      <c r="AO16" s="189"/>
      <c r="AP16" s="38"/>
      <c r="AQ16" s="188">
        <v>18.64</v>
      </c>
      <c r="AR16" s="189"/>
      <c r="AS16" s="95"/>
      <c r="AT16" s="190"/>
      <c r="AU16" s="191"/>
      <c r="AV16" s="201">
        <f>COUNTIF(F17:AU17,"в")</f>
        <v>3</v>
      </c>
      <c r="AW16" s="179">
        <f>F17+I17+L17+O17+R17+U17+X17+AA17+AD17+AG17+AJ17+AM17+AP17+AS17</f>
        <v>18</v>
      </c>
      <c r="AX16" s="184" t="s">
        <v>2</v>
      </c>
      <c r="AY16" s="183">
        <f>AU17+AR17+AO17+AL17+AI17+AF17+AC17+Z17+W17+T17+Q17+N17+K17+H17</f>
        <v>30</v>
      </c>
      <c r="AZ16" s="175">
        <f>IF(BL16=0,0,RANK(BL16,$BL$7:$BL$48,0))</f>
        <v>12</v>
      </c>
      <c r="BA16" s="174">
        <f>IF(BL16=0,0,VLOOKUP(AZ16,$BG$7:$BH$48,2,FALSE))</f>
        <v>6</v>
      </c>
      <c r="BB16" s="180">
        <f>A16+BA16</f>
        <v>6</v>
      </c>
      <c r="BC16" s="39">
        <f>AVERAGE(G16,J16,M16,P16,S16,V16,Y16,AB16,AE16,AH16,AK16,AN16,AQ16,AT16)</f>
        <v>18.0825</v>
      </c>
      <c r="BD16" s="172">
        <f>F16+AS16+AP16+AM16+AJ16+AG16+AD16+AA16+X16+U16+R16+O16+L16+I16</f>
        <v>0</v>
      </c>
      <c r="BE16" s="262"/>
      <c r="BG16" s="236">
        <v>4</v>
      </c>
      <c r="BH16" s="236">
        <v>20</v>
      </c>
      <c r="BJ16" s="22"/>
      <c r="BK16" s="164">
        <f>IF((AV16+AW18*0.001)=0,0,AV16+AW18*0.001+1)</f>
        <v>3.988</v>
      </c>
      <c r="BL16" s="165">
        <f>BK16+CB16*0.0001</f>
        <v>3.988</v>
      </c>
      <c r="BM16" s="88"/>
      <c r="BN16" s="89">
        <f>IF(O17&gt;Q17,1,0)+(O17-Q17)*0.1</f>
        <v>0</v>
      </c>
      <c r="BO16" s="90">
        <f>IF(R17&gt;T17,1,0)+(R17-T17)*0.1</f>
        <v>-0.2</v>
      </c>
      <c r="BP16" s="90">
        <f>IF(U17&gt;W17,1,0)+(U17-W17)*0.1</f>
        <v>-0.30000000000000004</v>
      </c>
      <c r="BQ16" s="90">
        <f>IF(X17&gt;Z17,1,0)+(X17-Z17)*0.1</f>
        <v>-0.1</v>
      </c>
      <c r="BR16" s="90">
        <f>IF(AA17&gt;AC17,1,0)+(AA17-AC17)*0.1</f>
        <v>-0.30000000000000004</v>
      </c>
      <c r="BS16" s="90">
        <f>IF(AD17&gt;AF17,1,0)+(AD17-AF17)*0.1</f>
        <v>-0.30000000000000004</v>
      </c>
      <c r="BT16" s="90">
        <f>IF(AG17&gt;AI17,1,0)+(AG17-AI17)*0.1</f>
        <v>-0.1</v>
      </c>
      <c r="BU16" s="90">
        <f>IF(AJ17&gt;AL17,1,0)+(AJ17-AL17)*0.1</f>
        <v>-0.30000000000000004</v>
      </c>
      <c r="BV16" s="90">
        <f>IF(AM17&gt;AO17,1,0)+(AM17-AO17)*0.1</f>
        <v>1.3</v>
      </c>
      <c r="BW16" s="90">
        <f>IF(AP17&gt;AR17,1,0)+(AP17-AR17)*0.1</f>
        <v>-0.1</v>
      </c>
      <c r="BX16" s="90">
        <f>IF(AS17&gt;AU17,1,0)+(AS17-AU17)*0.1</f>
        <v>0</v>
      </c>
      <c r="BY16" s="90">
        <f>IF(F17&gt;H17,1,0)+(F17-H17)*0.1</f>
        <v>-0.1</v>
      </c>
      <c r="BZ16" s="90">
        <f>IF(I17&gt;K17,1,0)+(I17-K17)*0.1</f>
        <v>1.2</v>
      </c>
      <c r="CA16" s="90">
        <f>IF(L17&gt;N17,1,0)+(L17-N17)*0.1</f>
        <v>1.1</v>
      </c>
      <c r="CB16" s="165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34"/>
      <c r="B17" s="85">
        <v>4</v>
      </c>
      <c r="C17" s="168"/>
      <c r="D17" s="168"/>
      <c r="E17" s="169"/>
      <c r="F17" s="42">
        <f>Q8</f>
        <v>2</v>
      </c>
      <c r="G17" s="122">
        <f>IF(F17&gt;H17,"в","")</f>
      </c>
      <c r="H17" s="43">
        <f>O8</f>
        <v>3</v>
      </c>
      <c r="I17" s="42">
        <f>Q11</f>
        <v>3</v>
      </c>
      <c r="J17" s="120" t="str">
        <f>IF(I17&gt;K17,"в","")</f>
        <v>в</v>
      </c>
      <c r="K17" s="43">
        <f>O11</f>
        <v>1</v>
      </c>
      <c r="L17" s="42">
        <f>Q14</f>
        <v>3</v>
      </c>
      <c r="M17" s="120" t="str">
        <f>IF(L17&gt;N17,"в","")</f>
        <v>в</v>
      </c>
      <c r="N17" s="43">
        <f>O14</f>
        <v>2</v>
      </c>
      <c r="O17" s="40"/>
      <c r="P17" s="28">
        <v>4</v>
      </c>
      <c r="Q17" s="52"/>
      <c r="R17" s="42">
        <v>1</v>
      </c>
      <c r="S17" s="122">
        <f>IF(R17&gt;T17,"в","")</f>
      </c>
      <c r="T17" s="43">
        <v>3</v>
      </c>
      <c r="U17" s="42">
        <v>0</v>
      </c>
      <c r="V17" s="122">
        <f>IF(U17&gt;W17,"в","")</f>
      </c>
      <c r="W17" s="43">
        <v>3</v>
      </c>
      <c r="X17" s="42">
        <v>2</v>
      </c>
      <c r="Y17" s="122">
        <f>IF(X17&gt;Z17,"в","")</f>
      </c>
      <c r="Z17" s="43">
        <v>3</v>
      </c>
      <c r="AA17" s="42">
        <v>0</v>
      </c>
      <c r="AB17" s="122">
        <f>IF(AA17&gt;AC17,"в","")</f>
      </c>
      <c r="AC17" s="43">
        <v>3</v>
      </c>
      <c r="AD17" s="42">
        <v>0</v>
      </c>
      <c r="AE17" s="122">
        <f>IF(AD17&gt;AF17,"в","")</f>
      </c>
      <c r="AF17" s="43">
        <v>3</v>
      </c>
      <c r="AG17" s="42">
        <v>2</v>
      </c>
      <c r="AH17" s="122">
        <f>IF(AG17&gt;AI17,"в","")</f>
      </c>
      <c r="AI17" s="43">
        <v>3</v>
      </c>
      <c r="AJ17" s="42">
        <v>0</v>
      </c>
      <c r="AK17" s="122">
        <f>IF(AJ17&gt;AL17,"в","")</f>
      </c>
      <c r="AL17" s="43">
        <v>3</v>
      </c>
      <c r="AM17" s="42">
        <v>3</v>
      </c>
      <c r="AN17" s="120" t="str">
        <f>IF(AM17&gt;AO17,"в","")</f>
        <v>в</v>
      </c>
      <c r="AO17" s="43">
        <v>0</v>
      </c>
      <c r="AP17" s="42">
        <v>2</v>
      </c>
      <c r="AQ17" s="122">
        <f>IF(AP17&gt;AR17,"в","")</f>
      </c>
      <c r="AR17" s="43">
        <v>3</v>
      </c>
      <c r="AS17" s="98"/>
      <c r="AT17" s="99">
        <f>IF(AS17&gt;AU17,"в","")</f>
      </c>
      <c r="AU17" s="100"/>
      <c r="AV17" s="202"/>
      <c r="AW17" s="179"/>
      <c r="AX17" s="184"/>
      <c r="AY17" s="183"/>
      <c r="AZ17" s="176"/>
      <c r="BA17" s="174"/>
      <c r="BB17" s="180"/>
      <c r="BC17" s="44">
        <f>BC16*3</f>
        <v>54.2475</v>
      </c>
      <c r="BD17" s="173"/>
      <c r="BE17" s="260"/>
      <c r="BG17" s="236"/>
      <c r="BH17" s="236"/>
      <c r="BJ17" s="22"/>
      <c r="BK17" s="164"/>
      <c r="BL17" s="165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65"/>
    </row>
    <row r="18" spans="1:80" ht="18" customHeight="1" thickBot="1" thickTop="1">
      <c r="A18" s="234"/>
      <c r="B18" s="86"/>
      <c r="C18" s="170"/>
      <c r="D18" s="170"/>
      <c r="E18" s="171"/>
      <c r="F18" s="47">
        <v>29</v>
      </c>
      <c r="G18" s="48">
        <v>30</v>
      </c>
      <c r="H18" s="49"/>
      <c r="I18" s="47">
        <v>30</v>
      </c>
      <c r="J18" s="48">
        <v>30</v>
      </c>
      <c r="K18" s="49">
        <v>19</v>
      </c>
      <c r="L18" s="47">
        <v>35</v>
      </c>
      <c r="M18" s="48">
        <v>36</v>
      </c>
      <c r="N18" s="49">
        <v>20</v>
      </c>
      <c r="O18" s="45"/>
      <c r="P18" s="46"/>
      <c r="Q18" s="53"/>
      <c r="R18" s="47">
        <v>21</v>
      </c>
      <c r="S18" s="48"/>
      <c r="T18" s="49"/>
      <c r="U18" s="47"/>
      <c r="V18" s="48"/>
      <c r="W18" s="49"/>
      <c r="X18" s="47">
        <v>23</v>
      </c>
      <c r="Y18" s="48">
        <v>24</v>
      </c>
      <c r="Z18" s="49"/>
      <c r="AA18" s="47"/>
      <c r="AB18" s="48"/>
      <c r="AC18" s="49"/>
      <c r="AD18" s="47"/>
      <c r="AE18" s="48"/>
      <c r="AF18" s="49"/>
      <c r="AG18" s="47">
        <v>31</v>
      </c>
      <c r="AH18" s="48">
        <v>29</v>
      </c>
      <c r="AI18" s="49"/>
      <c r="AJ18" s="47"/>
      <c r="AK18" s="48"/>
      <c r="AL18" s="49"/>
      <c r="AM18" s="47">
        <v>18</v>
      </c>
      <c r="AN18" s="48">
        <v>34</v>
      </c>
      <c r="AO18" s="49">
        <v>23</v>
      </c>
      <c r="AP18" s="47">
        <v>25</v>
      </c>
      <c r="AQ18" s="48">
        <v>28</v>
      </c>
      <c r="AR18" s="49"/>
      <c r="AS18" s="117"/>
      <c r="AT18" s="118"/>
      <c r="AU18" s="119"/>
      <c r="AV18" s="203"/>
      <c r="AW18" s="178">
        <f>AW16-AY16</f>
        <v>-12</v>
      </c>
      <c r="AX18" s="178"/>
      <c r="AY18" s="178"/>
      <c r="AZ18" s="177"/>
      <c r="BA18" s="174"/>
      <c r="BB18" s="180"/>
      <c r="BC18" s="50">
        <f>AVERAGE(F18:AU18)</f>
        <v>26.944444444444443</v>
      </c>
      <c r="BD18" s="173"/>
      <c r="BE18" s="261"/>
      <c r="BG18" s="236"/>
      <c r="BH18" s="236"/>
      <c r="BJ18" s="22"/>
      <c r="BK18" s="164"/>
      <c r="BL18" s="165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65"/>
    </row>
    <row r="19" spans="1:80" ht="18" customHeight="1" thickBot="1" thickTop="1">
      <c r="A19" s="255">
        <v>0</v>
      </c>
      <c r="B19" s="84"/>
      <c r="C19" s="166" t="str">
        <f>VLOOKUP(B20,Исходник!$F$3:Исходник!$AY$44,46,FALSE)</f>
        <v>Хроменко Олег
СФДМ, Москва</v>
      </c>
      <c r="D19" s="166"/>
      <c r="E19" s="167"/>
      <c r="F19" s="38">
        <v>1</v>
      </c>
      <c r="G19" s="228">
        <v>20.82</v>
      </c>
      <c r="H19" s="229"/>
      <c r="I19" s="38"/>
      <c r="J19" s="228">
        <v>20.24</v>
      </c>
      <c r="K19" s="229"/>
      <c r="L19" s="38"/>
      <c r="M19" s="228">
        <v>25.47</v>
      </c>
      <c r="N19" s="229"/>
      <c r="O19" s="38"/>
      <c r="P19" s="228">
        <v>19.14</v>
      </c>
      <c r="Q19" s="229"/>
      <c r="R19" s="26"/>
      <c r="S19" s="211"/>
      <c r="T19" s="212"/>
      <c r="U19" s="38"/>
      <c r="V19" s="188">
        <v>20.66</v>
      </c>
      <c r="W19" s="189"/>
      <c r="X19" s="38"/>
      <c r="Y19" s="188">
        <v>21.78</v>
      </c>
      <c r="Z19" s="189"/>
      <c r="AA19" s="38"/>
      <c r="AB19" s="188">
        <v>19.44</v>
      </c>
      <c r="AC19" s="189"/>
      <c r="AD19" s="38"/>
      <c r="AE19" s="188">
        <v>18.16</v>
      </c>
      <c r="AF19" s="189"/>
      <c r="AG19" s="38"/>
      <c r="AH19" s="188">
        <v>19.29</v>
      </c>
      <c r="AI19" s="189"/>
      <c r="AJ19" s="38"/>
      <c r="AK19" s="188">
        <v>22.73</v>
      </c>
      <c r="AL19" s="189"/>
      <c r="AM19" s="38"/>
      <c r="AN19" s="188">
        <v>25.05</v>
      </c>
      <c r="AO19" s="189"/>
      <c r="AP19" s="38"/>
      <c r="AQ19" s="188">
        <v>19.84</v>
      </c>
      <c r="AR19" s="189"/>
      <c r="AS19" s="95"/>
      <c r="AT19" s="190"/>
      <c r="AU19" s="191"/>
      <c r="AV19" s="201">
        <f>COUNTIF(F20:AU20,"в")</f>
        <v>7</v>
      </c>
      <c r="AW19" s="179">
        <f>F20+I20+L20+O20+R20+U20+X20+AA20+AD20+AG20+AJ20+AM20+AP20+AS20</f>
        <v>25</v>
      </c>
      <c r="AX19" s="184" t="s">
        <v>2</v>
      </c>
      <c r="AY19" s="183">
        <f>AU20+AR20+AO20+AL20+AI20+AF20+AC20+Z20+W20+T20+Q20+N20+K20+H20</f>
        <v>21</v>
      </c>
      <c r="AZ19" s="175">
        <f>IF(BL19=0,0,RANK(BL19,$BL$7:$BL$48,0))</f>
        <v>4</v>
      </c>
      <c r="BA19" s="174">
        <f>IF(BL19=0,0,VLOOKUP(AZ19,$BG$7:$BH$48,2,FALSE))</f>
        <v>20</v>
      </c>
      <c r="BB19" s="180">
        <f>A19+BA19</f>
        <v>20</v>
      </c>
      <c r="BC19" s="39">
        <f>AVERAGE(G19,J19,M19,P19,S19,V19,Y19,AB19,AE19,AH19,AK19,AN19,AQ19,AT19)</f>
        <v>21.051666666666666</v>
      </c>
      <c r="BD19" s="172">
        <f>F19+AS19+AP19+AM19+AJ19+AG19+AD19+AA19+X19+U19+R19+O19+L19+I19</f>
        <v>1</v>
      </c>
      <c r="BE19" s="262">
        <v>110</v>
      </c>
      <c r="BG19" s="236">
        <v>5</v>
      </c>
      <c r="BH19" s="236">
        <v>17</v>
      </c>
      <c r="BJ19" s="22"/>
      <c r="BK19" s="164">
        <f>IF((AV19+AW21*0.001)=0,0,AV19+AW21*0.001+1)</f>
        <v>8.004</v>
      </c>
      <c r="BL19" s="165">
        <f>BK19+CB19*0.0001</f>
        <v>8.004109999999999</v>
      </c>
      <c r="BM19" s="88"/>
      <c r="BN19" s="89">
        <f>IF(R20&gt;T20,1,0)+(R20-T20)*0.1</f>
        <v>0</v>
      </c>
      <c r="BO19" s="90">
        <f>IF(U20&gt;W20,1,0)+(U20-W20)*0.1</f>
        <v>1.1</v>
      </c>
      <c r="BP19" s="90">
        <f>IF(X20&gt;Z20,1,0)+(X20-Z20)*0.1</f>
        <v>1.3</v>
      </c>
      <c r="BQ19" s="90">
        <f>IF(AA20&gt;AC20,1,0)+(AA20-AC20)*0.1</f>
        <v>-0.1</v>
      </c>
      <c r="BR19" s="90">
        <f>IF(AD20&gt;AF20,1,0)+(AD20-AF20)*0.1</f>
        <v>-0.30000000000000004</v>
      </c>
      <c r="BS19" s="90">
        <f>IF(AG20&gt;AI20,1,0)+(AG20-AI20)*0.1</f>
        <v>1.2</v>
      </c>
      <c r="BT19" s="90">
        <f>IF(AJ20&gt;AL20,1,0)+(AJ20-AL20)*0.1</f>
        <v>1.1</v>
      </c>
      <c r="BU19" s="90">
        <f>IF(AM20&gt;AO20,1,0)+(AM20-AO20)*0.1</f>
        <v>1.3</v>
      </c>
      <c r="BV19" s="90">
        <f>IF(AP20&gt;AR20,1,0)+(AP20-AR20)*0.1</f>
        <v>-0.30000000000000004</v>
      </c>
      <c r="BW19" s="90">
        <f>IF(AS20&gt;AU20,1,0)+(AS20-AU20)*0.1</f>
        <v>0</v>
      </c>
      <c r="BX19" s="90">
        <f>IF(F20&gt;H20,1,0)+(F20-H20)*0.1</f>
        <v>-0.2</v>
      </c>
      <c r="BY19" s="90">
        <f>IF(I20&gt;K20,1,0)+(I20-K20)*0.1</f>
        <v>-0.2</v>
      </c>
      <c r="BZ19" s="90">
        <f>IF(L20&gt;N20,1,0)+(L20-N20)*0.1</f>
        <v>1.3</v>
      </c>
      <c r="CA19" s="90">
        <f>IF(O20&gt;Q20,1,0)+(O20-Q20)*0.1</f>
        <v>1.2</v>
      </c>
      <c r="CB19" s="165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1.1</v>
      </c>
    </row>
    <row r="20" spans="1:80" ht="18" customHeight="1" thickBot="1" thickTop="1">
      <c r="A20" s="256"/>
      <c r="B20" s="85">
        <v>5</v>
      </c>
      <c r="C20" s="168"/>
      <c r="D20" s="168"/>
      <c r="E20" s="169"/>
      <c r="F20" s="42">
        <f>T8</f>
        <v>1</v>
      </c>
      <c r="G20" s="122">
        <f>IF(F20&gt;H20,"в","")</f>
      </c>
      <c r="H20" s="43">
        <f>R8</f>
        <v>3</v>
      </c>
      <c r="I20" s="42">
        <f>T11</f>
        <v>1</v>
      </c>
      <c r="J20" s="122">
        <f>IF(I20&gt;K20,"в","")</f>
      </c>
      <c r="K20" s="43">
        <f>R11</f>
        <v>3</v>
      </c>
      <c r="L20" s="42">
        <f>T14</f>
        <v>3</v>
      </c>
      <c r="M20" s="120" t="str">
        <f>IF(L20&gt;N20,"в","")</f>
        <v>в</v>
      </c>
      <c r="N20" s="43">
        <f>R14</f>
        <v>0</v>
      </c>
      <c r="O20" s="42">
        <f>T17</f>
        <v>3</v>
      </c>
      <c r="P20" s="120" t="str">
        <f>IF(O20&gt;Q20,"в","")</f>
        <v>в</v>
      </c>
      <c r="Q20" s="43">
        <f>R17</f>
        <v>1</v>
      </c>
      <c r="R20" s="40"/>
      <c r="S20" s="28">
        <v>5</v>
      </c>
      <c r="T20" s="52"/>
      <c r="U20" s="42">
        <v>3</v>
      </c>
      <c r="V20" s="120" t="str">
        <f>IF(U20&gt;W20,"в","")</f>
        <v>в</v>
      </c>
      <c r="W20" s="43">
        <v>2</v>
      </c>
      <c r="X20" s="42">
        <v>3</v>
      </c>
      <c r="Y20" s="120" t="str">
        <f>IF(X20&gt;Z20,"в","")</f>
        <v>в</v>
      </c>
      <c r="Z20" s="43">
        <v>0</v>
      </c>
      <c r="AA20" s="42">
        <v>2</v>
      </c>
      <c r="AB20" s="122">
        <f>IF(AA20&gt;AC20,"в","")</f>
      </c>
      <c r="AC20" s="43">
        <v>3</v>
      </c>
      <c r="AD20" s="42">
        <v>0</v>
      </c>
      <c r="AE20" s="122">
        <f>IF(AD20&gt;AF20,"в","")</f>
      </c>
      <c r="AF20" s="123">
        <v>3</v>
      </c>
      <c r="AG20" s="42">
        <v>3</v>
      </c>
      <c r="AH20" s="120" t="str">
        <f>IF(AG20&gt;AI20,"в","")</f>
        <v>в</v>
      </c>
      <c r="AI20" s="43">
        <v>1</v>
      </c>
      <c r="AJ20" s="42">
        <v>3</v>
      </c>
      <c r="AK20" s="120" t="str">
        <f>IF(AJ20&gt;AL20,"в","")</f>
        <v>в</v>
      </c>
      <c r="AL20" s="43">
        <v>2</v>
      </c>
      <c r="AM20" s="42">
        <v>3</v>
      </c>
      <c r="AN20" s="120" t="str">
        <f>IF(AM20&gt;AO20,"в","")</f>
        <v>в</v>
      </c>
      <c r="AO20" s="43">
        <v>0</v>
      </c>
      <c r="AP20" s="42">
        <v>0</v>
      </c>
      <c r="AQ20" s="122">
        <f>IF(AP20&gt;AR20,"в","")</f>
      </c>
      <c r="AR20" s="43">
        <v>3</v>
      </c>
      <c r="AS20" s="98"/>
      <c r="AT20" s="99">
        <f>IF(AS20&gt;AU20,"в","")</f>
      </c>
      <c r="AU20" s="100"/>
      <c r="AV20" s="202"/>
      <c r="AW20" s="179"/>
      <c r="AX20" s="184"/>
      <c r="AY20" s="183"/>
      <c r="AZ20" s="176"/>
      <c r="BA20" s="174"/>
      <c r="BB20" s="180"/>
      <c r="BC20" s="44">
        <f>BC19*3</f>
        <v>63.155</v>
      </c>
      <c r="BD20" s="173"/>
      <c r="BE20" s="260"/>
      <c r="BG20" s="236"/>
      <c r="BH20" s="236"/>
      <c r="BJ20" s="22"/>
      <c r="BK20" s="164"/>
      <c r="BL20" s="165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65"/>
    </row>
    <row r="21" spans="1:80" ht="18" customHeight="1" thickBot="1" thickTop="1">
      <c r="A21" s="257"/>
      <c r="B21" s="86"/>
      <c r="C21" s="170"/>
      <c r="D21" s="170"/>
      <c r="E21" s="171"/>
      <c r="F21" s="47">
        <v>27</v>
      </c>
      <c r="G21" s="48"/>
      <c r="H21" s="49"/>
      <c r="I21" s="47">
        <v>22</v>
      </c>
      <c r="J21" s="48">
        <v>21</v>
      </c>
      <c r="K21" s="49"/>
      <c r="L21" s="47">
        <v>17</v>
      </c>
      <c r="M21" s="48">
        <v>20</v>
      </c>
      <c r="N21" s="49">
        <v>22</v>
      </c>
      <c r="O21" s="47">
        <v>25</v>
      </c>
      <c r="P21" s="48">
        <v>24</v>
      </c>
      <c r="Q21" s="49">
        <v>25</v>
      </c>
      <c r="R21" s="45"/>
      <c r="S21" s="46"/>
      <c r="T21" s="53"/>
      <c r="U21" s="47">
        <v>20</v>
      </c>
      <c r="V21" s="48">
        <v>20</v>
      </c>
      <c r="W21" s="49">
        <v>20</v>
      </c>
      <c r="X21" s="47">
        <v>16</v>
      </c>
      <c r="Y21" s="48">
        <v>22</v>
      </c>
      <c r="Z21" s="49">
        <v>22</v>
      </c>
      <c r="AA21" s="47">
        <v>21</v>
      </c>
      <c r="AB21" s="48">
        <v>29</v>
      </c>
      <c r="AC21" s="49"/>
      <c r="AD21" s="47"/>
      <c r="AE21" s="48"/>
      <c r="AF21" s="49"/>
      <c r="AG21" s="47">
        <v>23</v>
      </c>
      <c r="AH21" s="48">
        <v>20</v>
      </c>
      <c r="AI21" s="49">
        <v>31</v>
      </c>
      <c r="AJ21" s="47">
        <v>23</v>
      </c>
      <c r="AK21" s="48">
        <v>24</v>
      </c>
      <c r="AL21" s="49">
        <v>18</v>
      </c>
      <c r="AM21" s="47">
        <v>23</v>
      </c>
      <c r="AN21" s="48">
        <v>16</v>
      </c>
      <c r="AO21" s="49">
        <v>21</v>
      </c>
      <c r="AP21" s="47"/>
      <c r="AQ21" s="48"/>
      <c r="AR21" s="49"/>
      <c r="AS21" s="117"/>
      <c r="AT21" s="118"/>
      <c r="AU21" s="119"/>
      <c r="AV21" s="203"/>
      <c r="AW21" s="178">
        <f>AW19-AY19</f>
        <v>4</v>
      </c>
      <c r="AX21" s="178"/>
      <c r="AY21" s="178"/>
      <c r="AZ21" s="177"/>
      <c r="BA21" s="174"/>
      <c r="BB21" s="180"/>
      <c r="BC21" s="50">
        <f>AVERAGE(F21:AU21)</f>
        <v>22</v>
      </c>
      <c r="BD21" s="173"/>
      <c r="BE21" s="261"/>
      <c r="BG21" s="236"/>
      <c r="BH21" s="236"/>
      <c r="BJ21" s="22"/>
      <c r="BK21" s="164"/>
      <c r="BL21" s="165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65"/>
    </row>
    <row r="22" spans="1:80" ht="18" customHeight="1" thickBot="1" thickTop="1">
      <c r="A22" s="234">
        <v>0</v>
      </c>
      <c r="B22" s="84"/>
      <c r="C22" s="166" t="str">
        <f>VLOOKUP(B23,Исходник!$F$3:Исходник!$AY$44,46,FALSE)</f>
        <v>Дераков Евгений
СФДМ, Москва</v>
      </c>
      <c r="D22" s="166"/>
      <c r="E22" s="167"/>
      <c r="F22" s="38"/>
      <c r="G22" s="188">
        <v>21.2</v>
      </c>
      <c r="H22" s="189"/>
      <c r="I22" s="38">
        <v>1</v>
      </c>
      <c r="J22" s="188">
        <v>20.72</v>
      </c>
      <c r="K22" s="189"/>
      <c r="L22" s="38"/>
      <c r="M22" s="188">
        <v>19.16</v>
      </c>
      <c r="N22" s="189"/>
      <c r="O22" s="38"/>
      <c r="P22" s="188">
        <v>23.48</v>
      </c>
      <c r="Q22" s="189"/>
      <c r="R22" s="38"/>
      <c r="S22" s="188">
        <v>20.02</v>
      </c>
      <c r="T22" s="189"/>
      <c r="U22" s="26"/>
      <c r="V22" s="211"/>
      <c r="W22" s="212"/>
      <c r="X22" s="38"/>
      <c r="Y22" s="188">
        <v>21</v>
      </c>
      <c r="Z22" s="189"/>
      <c r="AA22" s="38"/>
      <c r="AB22" s="188">
        <v>21.73</v>
      </c>
      <c r="AC22" s="189"/>
      <c r="AD22" s="38"/>
      <c r="AE22" s="188">
        <v>17.89</v>
      </c>
      <c r="AF22" s="189"/>
      <c r="AG22" s="38"/>
      <c r="AH22" s="188">
        <v>19.1</v>
      </c>
      <c r="AI22" s="189"/>
      <c r="AJ22" s="38"/>
      <c r="AK22" s="188">
        <v>20</v>
      </c>
      <c r="AL22" s="189"/>
      <c r="AM22" s="38"/>
      <c r="AN22" s="188">
        <v>19.33</v>
      </c>
      <c r="AO22" s="189"/>
      <c r="AP22" s="38"/>
      <c r="AQ22" s="188">
        <v>20.91</v>
      </c>
      <c r="AR22" s="189"/>
      <c r="AS22" s="95"/>
      <c r="AT22" s="190"/>
      <c r="AU22" s="191"/>
      <c r="AV22" s="201">
        <f>COUNTIF(F23:AU23,"в")</f>
        <v>7</v>
      </c>
      <c r="AW22" s="179">
        <f>F23+I23+L23+O23+R23+U23+X23+AA23+AD23+AG23+AJ23+AM23+AP23+AS23</f>
        <v>27</v>
      </c>
      <c r="AX22" s="184" t="s">
        <v>2</v>
      </c>
      <c r="AY22" s="183">
        <f>AU23+AR23+AO23+AL23+AI23+AF23+AC23+Z23+W23+T23+Q23+N23+K23+H23</f>
        <v>25</v>
      </c>
      <c r="AZ22" s="175">
        <f>IF(BL22=0,0,RANK(BL22,$BL$7:$BL$48,0))</f>
        <v>7</v>
      </c>
      <c r="BA22" s="174">
        <f>IF(BL22=0,0,VLOOKUP(AZ22,$BG$7:$BH$48,2,FALSE))</f>
        <v>13</v>
      </c>
      <c r="BB22" s="180">
        <f>A22+BA22</f>
        <v>13</v>
      </c>
      <c r="BC22" s="39">
        <f>AVERAGE(G22,J22,M22,P22,S22,V22,Y22,AB22,AE22,AH22,AK22,AN22,AQ22,AT22)</f>
        <v>20.378333333333334</v>
      </c>
      <c r="BD22" s="172">
        <f>F22+AS22+AP22+AM22+AJ22+AG22+AD22+AA22+X22+U22+R22+O22+L22+I22</f>
        <v>1</v>
      </c>
      <c r="BE22" s="259"/>
      <c r="BG22" s="236">
        <v>6</v>
      </c>
      <c r="BH22" s="236">
        <v>15</v>
      </c>
      <c r="BJ22" s="22"/>
      <c r="BK22" s="164">
        <f>IF((AV22+AW24*0.001)=0,0,AV22+AW24*0.001+1)</f>
        <v>8.001999999999999</v>
      </c>
      <c r="BL22" s="165">
        <f>BK22+CB22*0.0001</f>
        <v>8.001999999999999</v>
      </c>
      <c r="BM22" s="88"/>
      <c r="BN22" s="89">
        <f>IF(U23&gt;W23,1,0)+(U23-W23)*0.1</f>
        <v>0</v>
      </c>
      <c r="BO22" s="90">
        <f>IF(X23&gt;Z23,1,0)+(X23-Z23)*0.1</f>
        <v>1.1</v>
      </c>
      <c r="BP22" s="90">
        <f>IF(AA23&gt;AC23,1,0)+(AA23-AC23)*0.1</f>
        <v>-0.1</v>
      </c>
      <c r="BQ22" s="90">
        <f>IF(AD23&gt;AF23,1,0)+(AD23-AF23)*0.1</f>
        <v>-0.30000000000000004</v>
      </c>
      <c r="BR22" s="90">
        <f>IF(AG23&gt;AI23,1,0)+(AG23-AI23)*0.1</f>
        <v>-0.1</v>
      </c>
      <c r="BS22" s="90">
        <f>IF(AJ23&gt;AL23,1,0)+(AJ23-AL23)*0.1</f>
        <v>1.1</v>
      </c>
      <c r="BT22" s="90">
        <f>IF(AM23&gt;AO23,1,0)+(AM23-AO23)*0.1</f>
        <v>1.1</v>
      </c>
      <c r="BU22" s="90">
        <f>IF(AP23&gt;AR23,1,0)+(AP23-AR23)*0.1</f>
        <v>1.2</v>
      </c>
      <c r="BV22" s="90">
        <f>IF(AS23&gt;AU23,1,0)+(AS23-AU23)*0.1</f>
        <v>0</v>
      </c>
      <c r="BW22" s="90">
        <f>IF(F23&gt;H23,1,0)+(F23-H23)*0.1</f>
        <v>1.1</v>
      </c>
      <c r="BX22" s="90">
        <f>IF(I23&gt;K23,1,0)+(I23-K23)*0.1</f>
        <v>-0.30000000000000004</v>
      </c>
      <c r="BY22" s="90">
        <f>IF(L23&gt;N23,1,0)+(L23-N23)*0.1</f>
        <v>1.2</v>
      </c>
      <c r="BZ22" s="90">
        <f>IF(O23&gt;Q23,1,0)+(O23-Q23)*0.1</f>
        <v>1.3</v>
      </c>
      <c r="CA22" s="90">
        <f>IF(R23&gt;T23,1,0)+(R23-T23)*0.1</f>
        <v>-0.1</v>
      </c>
      <c r="CB22" s="165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34"/>
      <c r="B23" s="85">
        <v>6</v>
      </c>
      <c r="C23" s="168"/>
      <c r="D23" s="168"/>
      <c r="E23" s="169"/>
      <c r="F23" s="42">
        <f>W8</f>
        <v>3</v>
      </c>
      <c r="G23" s="120" t="str">
        <f>IF(F23&gt;H23,"в","")</f>
        <v>в</v>
      </c>
      <c r="H23" s="43">
        <f>U8</f>
        <v>2</v>
      </c>
      <c r="I23" s="42">
        <f>W11</f>
        <v>0</v>
      </c>
      <c r="J23" s="122">
        <f>IF(I23&gt;K23,"в","")</f>
      </c>
      <c r="K23" s="43">
        <f>U11</f>
        <v>3</v>
      </c>
      <c r="L23" s="42">
        <f>W14</f>
        <v>3</v>
      </c>
      <c r="M23" s="120" t="str">
        <f>IF(L23&gt;N23,"в","")</f>
        <v>в</v>
      </c>
      <c r="N23" s="43">
        <f>U14</f>
        <v>1</v>
      </c>
      <c r="O23" s="42">
        <f>W17</f>
        <v>3</v>
      </c>
      <c r="P23" s="120" t="str">
        <f>IF(O23&gt;Q23,"в","")</f>
        <v>в</v>
      </c>
      <c r="Q23" s="43">
        <f>U17</f>
        <v>0</v>
      </c>
      <c r="R23" s="42">
        <f>W20</f>
        <v>2</v>
      </c>
      <c r="S23" s="122">
        <f>IF(R23&gt;T23,"в","")</f>
      </c>
      <c r="T23" s="43">
        <f>U20</f>
        <v>3</v>
      </c>
      <c r="U23" s="40"/>
      <c r="V23" s="28">
        <v>6</v>
      </c>
      <c r="W23" s="52"/>
      <c r="X23" s="42">
        <v>3</v>
      </c>
      <c r="Y23" s="120" t="str">
        <f>IF(X23&gt;Z23,"в","")</f>
        <v>в</v>
      </c>
      <c r="Z23" s="43">
        <v>2</v>
      </c>
      <c r="AA23" s="42">
        <v>2</v>
      </c>
      <c r="AB23" s="122">
        <f>IF(AA23&gt;AC23,"в","")</f>
      </c>
      <c r="AC23" s="43">
        <v>3</v>
      </c>
      <c r="AD23" s="42">
        <v>0</v>
      </c>
      <c r="AE23" s="122">
        <f>IF(AD23&gt;AF23,"в","")</f>
      </c>
      <c r="AF23" s="43">
        <v>3</v>
      </c>
      <c r="AG23" s="42">
        <v>2</v>
      </c>
      <c r="AH23" s="122">
        <f>IF(AG23&gt;AI23,"в","")</f>
      </c>
      <c r="AI23" s="43">
        <v>3</v>
      </c>
      <c r="AJ23" s="42">
        <v>3</v>
      </c>
      <c r="AK23" s="120" t="str">
        <f>IF(AJ23&gt;AL23,"в","")</f>
        <v>в</v>
      </c>
      <c r="AL23" s="43">
        <v>2</v>
      </c>
      <c r="AM23" s="42">
        <v>3</v>
      </c>
      <c r="AN23" s="120" t="str">
        <f>IF(AM23&gt;AO23,"в","")</f>
        <v>в</v>
      </c>
      <c r="AO23" s="43">
        <v>2</v>
      </c>
      <c r="AP23" s="42">
        <v>3</v>
      </c>
      <c r="AQ23" s="120" t="str">
        <f>IF(AP23&gt;AR23,"в","")</f>
        <v>в</v>
      </c>
      <c r="AR23" s="43">
        <v>1</v>
      </c>
      <c r="AS23" s="98"/>
      <c r="AT23" s="99">
        <f>IF(AS23&gt;AU23,"в","")</f>
      </c>
      <c r="AU23" s="100"/>
      <c r="AV23" s="202"/>
      <c r="AW23" s="179"/>
      <c r="AX23" s="184"/>
      <c r="AY23" s="183"/>
      <c r="AZ23" s="176"/>
      <c r="BA23" s="174"/>
      <c r="BB23" s="180"/>
      <c r="BC23" s="44">
        <f>BC22*3</f>
        <v>61.135000000000005</v>
      </c>
      <c r="BD23" s="173"/>
      <c r="BE23" s="260"/>
      <c r="BG23" s="236"/>
      <c r="BH23" s="236"/>
      <c r="BJ23" s="22"/>
      <c r="BK23" s="164"/>
      <c r="BL23" s="165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65"/>
    </row>
    <row r="24" spans="1:80" ht="18" customHeight="1" thickBot="1" thickTop="1">
      <c r="A24" s="234"/>
      <c r="B24" s="86"/>
      <c r="C24" s="170"/>
      <c r="D24" s="170"/>
      <c r="E24" s="171"/>
      <c r="F24" s="47">
        <v>22</v>
      </c>
      <c r="G24" s="48">
        <v>27</v>
      </c>
      <c r="H24" s="49">
        <v>23</v>
      </c>
      <c r="I24" s="47"/>
      <c r="J24" s="48"/>
      <c r="K24" s="49"/>
      <c r="L24" s="47">
        <v>32</v>
      </c>
      <c r="M24" s="48">
        <v>20</v>
      </c>
      <c r="N24" s="49">
        <v>22</v>
      </c>
      <c r="O24" s="47">
        <v>21</v>
      </c>
      <c r="P24" s="48">
        <v>20</v>
      </c>
      <c r="Q24" s="49">
        <v>23</v>
      </c>
      <c r="R24" s="47">
        <v>24</v>
      </c>
      <c r="S24" s="48">
        <v>24</v>
      </c>
      <c r="T24" s="49"/>
      <c r="U24" s="45"/>
      <c r="V24" s="46"/>
      <c r="W24" s="53"/>
      <c r="X24" s="47">
        <v>22</v>
      </c>
      <c r="Y24" s="48">
        <v>21</v>
      </c>
      <c r="Z24" s="49">
        <v>31</v>
      </c>
      <c r="AA24" s="47">
        <v>22</v>
      </c>
      <c r="AB24" s="48">
        <v>27</v>
      </c>
      <c r="AC24" s="49"/>
      <c r="AD24" s="47"/>
      <c r="AE24" s="48"/>
      <c r="AF24" s="49"/>
      <c r="AG24" s="47">
        <v>29</v>
      </c>
      <c r="AH24" s="48">
        <v>30</v>
      </c>
      <c r="AI24" s="49"/>
      <c r="AJ24" s="47">
        <v>19</v>
      </c>
      <c r="AK24" s="48">
        <v>32</v>
      </c>
      <c r="AL24" s="49">
        <v>25</v>
      </c>
      <c r="AM24" s="47">
        <v>36</v>
      </c>
      <c r="AN24" s="48">
        <v>23</v>
      </c>
      <c r="AO24" s="49">
        <v>23</v>
      </c>
      <c r="AP24" s="47">
        <v>25</v>
      </c>
      <c r="AQ24" s="48">
        <v>21</v>
      </c>
      <c r="AR24" s="49">
        <v>25</v>
      </c>
      <c r="AS24" s="117"/>
      <c r="AT24" s="118"/>
      <c r="AU24" s="119"/>
      <c r="AV24" s="203"/>
      <c r="AW24" s="178">
        <f>AW22-AY22</f>
        <v>2</v>
      </c>
      <c r="AX24" s="178"/>
      <c r="AY24" s="178"/>
      <c r="AZ24" s="177"/>
      <c r="BA24" s="174"/>
      <c r="BB24" s="180"/>
      <c r="BC24" s="50">
        <f>AVERAGE(F24:AU24)</f>
        <v>24.77777777777778</v>
      </c>
      <c r="BD24" s="173"/>
      <c r="BE24" s="261"/>
      <c r="BG24" s="236"/>
      <c r="BH24" s="236"/>
      <c r="BJ24" s="22"/>
      <c r="BK24" s="164"/>
      <c r="BL24" s="165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65"/>
    </row>
    <row r="25" spans="1:80" ht="18" customHeight="1" thickBot="1" thickTop="1">
      <c r="A25" s="234">
        <v>0</v>
      </c>
      <c r="B25" s="84"/>
      <c r="C25" s="166" t="str">
        <f>VLOOKUP(B26,Исходник!$F$3:Исходник!$AY$44,46,FALSE)</f>
        <v>Иванов Евгений
СФДМ, Красногорск</v>
      </c>
      <c r="D25" s="166"/>
      <c r="E25" s="167"/>
      <c r="F25" s="38"/>
      <c r="G25" s="188">
        <v>17.85</v>
      </c>
      <c r="H25" s="189"/>
      <c r="I25" s="38"/>
      <c r="J25" s="188">
        <v>17.61</v>
      </c>
      <c r="K25" s="189"/>
      <c r="L25" s="38"/>
      <c r="M25" s="188">
        <v>22.1</v>
      </c>
      <c r="N25" s="189"/>
      <c r="O25" s="38"/>
      <c r="P25" s="188">
        <v>18.5</v>
      </c>
      <c r="Q25" s="189"/>
      <c r="R25" s="38"/>
      <c r="S25" s="188">
        <v>17.6</v>
      </c>
      <c r="T25" s="189"/>
      <c r="U25" s="38"/>
      <c r="V25" s="188">
        <v>20</v>
      </c>
      <c r="W25" s="189"/>
      <c r="X25" s="26"/>
      <c r="Y25" s="211"/>
      <c r="Z25" s="212"/>
      <c r="AA25" s="38"/>
      <c r="AB25" s="188">
        <v>17.56</v>
      </c>
      <c r="AC25" s="189"/>
      <c r="AD25" s="38">
        <v>1</v>
      </c>
      <c r="AE25" s="188">
        <v>22</v>
      </c>
      <c r="AF25" s="189"/>
      <c r="AG25" s="38"/>
      <c r="AH25" s="188">
        <v>19.08</v>
      </c>
      <c r="AI25" s="189"/>
      <c r="AJ25" s="38"/>
      <c r="AK25" s="188">
        <v>19.61</v>
      </c>
      <c r="AL25" s="189"/>
      <c r="AM25" s="38"/>
      <c r="AN25" s="188">
        <v>21.39</v>
      </c>
      <c r="AO25" s="189"/>
      <c r="AP25" s="38"/>
      <c r="AQ25" s="188">
        <v>21</v>
      </c>
      <c r="AR25" s="189"/>
      <c r="AS25" s="95"/>
      <c r="AT25" s="190"/>
      <c r="AU25" s="191"/>
      <c r="AV25" s="201">
        <f>COUNTIF(F26:AU26,"в")</f>
        <v>7</v>
      </c>
      <c r="AW25" s="179">
        <f>F26+I26+L26+O26+R26+U26+X26+AA26+AD26+AG26+AJ26+AM26+AP26+AS26</f>
        <v>26</v>
      </c>
      <c r="AX25" s="184" t="s">
        <v>2</v>
      </c>
      <c r="AY25" s="183">
        <f>AU26+AR26+AO26+AL26+AI26+AF26+AC26+Z26+W26+T26+Q26+N26+K26+H26</f>
        <v>22</v>
      </c>
      <c r="AZ25" s="175">
        <f>IF(BL25=0,0,RANK(BL25,$BL$7:$BL$48,0))</f>
        <v>6</v>
      </c>
      <c r="BA25" s="174">
        <f>IF(BL25=0,0,VLOOKUP(AZ25,$BG$7:$BH$48,2,FALSE))</f>
        <v>15</v>
      </c>
      <c r="BB25" s="180">
        <f>A25+BA25</f>
        <v>15</v>
      </c>
      <c r="BC25" s="39">
        <f>AVERAGE(G25,J25,M25,P25,S25,V25,Y25,AB25,AE25,AH25,AK25,AN25,AQ25,AT25)</f>
        <v>19.525000000000002</v>
      </c>
      <c r="BD25" s="172">
        <f>F25+AS25+AP25+AM25+AJ25+AG25+AD25+AA25+X25+U25+R25+O25+L25+I25</f>
        <v>1</v>
      </c>
      <c r="BE25" s="262"/>
      <c r="BG25" s="236">
        <v>7</v>
      </c>
      <c r="BH25" s="236">
        <v>13</v>
      </c>
      <c r="BJ25" s="22"/>
      <c r="BK25" s="164">
        <f>IF((AV25+AW27*0.001)=0,0,AV25+AW27*0.001+1)</f>
        <v>8.004</v>
      </c>
      <c r="BL25" s="165">
        <f>BK25+CB25*0.0001</f>
        <v>8.00409</v>
      </c>
      <c r="BM25" s="88"/>
      <c r="BN25" s="89">
        <f>IF(X26&gt;Z26,1,0)+(X26-Z26)*0.1</f>
        <v>0</v>
      </c>
      <c r="BO25" s="90">
        <f>IF(AA26&gt;AC26,1,0)+(AA26-AC26)*0.1</f>
        <v>-0.2</v>
      </c>
      <c r="BP25" s="90">
        <f>IF(AD26&gt;AF26,1,0)+(AD26-AF26)*0.1</f>
        <v>1.2</v>
      </c>
      <c r="BQ25" s="90">
        <f>IF(AG26&gt;AI26,1,0)+(AG26-AI26)*0.1</f>
        <v>1.3</v>
      </c>
      <c r="BR25" s="90">
        <f>IF(AJ26&gt;AL26,1,0)+(AJ26-AL26)*0.1</f>
        <v>-0.1</v>
      </c>
      <c r="BS25" s="90">
        <f>IF(AM26&gt;AO26,1,0)+(AM26-AO26)*0.1</f>
        <v>1.1</v>
      </c>
      <c r="BT25" s="90">
        <f>IF(AP26&gt;AR26,1,0)+(AP26-AR26)*0.1</f>
        <v>1.2</v>
      </c>
      <c r="BU25" s="90">
        <f>IF(AS26&gt;AU26,1,0)+(AS26-AU26)*0.1</f>
        <v>0</v>
      </c>
      <c r="BV25" s="90">
        <f>IF(F26&gt;H26,1,0)+(F26-H26)*0.1</f>
        <v>-0.30000000000000004</v>
      </c>
      <c r="BW25" s="90">
        <f>IF(I26&gt;K26,1,0)+(I26-K26)*0.1</f>
        <v>1.2</v>
      </c>
      <c r="BX25" s="90">
        <f>IF(L26&gt;N26,1,0)+(L26-N26)*0.1</f>
        <v>1.3</v>
      </c>
      <c r="BY25" s="90">
        <f>IF(O26&gt;Q26,1,0)+(O26-Q26)*0.1</f>
        <v>1.1</v>
      </c>
      <c r="BZ25" s="90">
        <f>IF(R26&gt;T26,1,0)+(R26-T26)*0.1</f>
        <v>-0.30000000000000004</v>
      </c>
      <c r="CA25" s="90">
        <f>IF(U26&gt;W26,1,0)+(U26-W26)*0.1</f>
        <v>-0.1</v>
      </c>
      <c r="CB25" s="165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0.8999999999999999</v>
      </c>
    </row>
    <row r="26" spans="1:80" ht="18" customHeight="1" thickBot="1" thickTop="1">
      <c r="A26" s="234"/>
      <c r="B26" s="85">
        <v>7</v>
      </c>
      <c r="C26" s="168"/>
      <c r="D26" s="168"/>
      <c r="E26" s="169"/>
      <c r="F26" s="42">
        <f>Z8</f>
        <v>0</v>
      </c>
      <c r="G26" s="122">
        <f>IF(F26&gt;H26,"в","")</f>
      </c>
      <c r="H26" s="43">
        <f>X8</f>
        <v>3</v>
      </c>
      <c r="I26" s="42">
        <f>Z11</f>
        <v>3</v>
      </c>
      <c r="J26" s="120" t="str">
        <f>IF(I26&gt;K26,"в","")</f>
        <v>в</v>
      </c>
      <c r="K26" s="43">
        <f>X11</f>
        <v>1</v>
      </c>
      <c r="L26" s="42">
        <f>Z14</f>
        <v>3</v>
      </c>
      <c r="M26" s="120" t="str">
        <f>IF(L26&gt;N26,"в","")</f>
        <v>в</v>
      </c>
      <c r="N26" s="43">
        <f>X14</f>
        <v>0</v>
      </c>
      <c r="O26" s="42">
        <f>Z17</f>
        <v>3</v>
      </c>
      <c r="P26" s="120" t="str">
        <f>IF(O26&gt;Q26,"в","")</f>
        <v>в</v>
      </c>
      <c r="Q26" s="43">
        <f>X17</f>
        <v>2</v>
      </c>
      <c r="R26" s="42">
        <f>Z20</f>
        <v>0</v>
      </c>
      <c r="S26" s="122">
        <f>IF(R26&gt;T26,"в","")</f>
      </c>
      <c r="T26" s="43">
        <f>X20</f>
        <v>3</v>
      </c>
      <c r="U26" s="42">
        <f>Z23</f>
        <v>2</v>
      </c>
      <c r="V26" s="122">
        <f>IF(U26&gt;W26,"в","")</f>
      </c>
      <c r="W26" s="43">
        <f>X23</f>
        <v>3</v>
      </c>
      <c r="X26" s="40"/>
      <c r="Y26" s="28">
        <v>7</v>
      </c>
      <c r="Z26" s="52"/>
      <c r="AA26" s="42">
        <v>1</v>
      </c>
      <c r="AB26" s="122">
        <f>IF(AA26&gt;AC26,"в","")</f>
      </c>
      <c r="AC26" s="43">
        <v>3</v>
      </c>
      <c r="AD26" s="42">
        <v>3</v>
      </c>
      <c r="AE26" s="120" t="str">
        <f>IF(AD26&gt;AF26,"в","")</f>
        <v>в</v>
      </c>
      <c r="AF26" s="43">
        <v>1</v>
      </c>
      <c r="AG26" s="42">
        <v>3</v>
      </c>
      <c r="AH26" s="120" t="str">
        <f>IF(AG26&gt;AI26,"в","")</f>
        <v>в</v>
      </c>
      <c r="AI26" s="43">
        <v>0</v>
      </c>
      <c r="AJ26" s="42">
        <v>2</v>
      </c>
      <c r="AK26" s="122">
        <f>IF(AJ26&gt;AL26,"в","")</f>
      </c>
      <c r="AL26" s="43">
        <v>3</v>
      </c>
      <c r="AM26" s="42">
        <v>3</v>
      </c>
      <c r="AN26" s="120" t="str">
        <f>IF(AM26&gt;AO26,"в","")</f>
        <v>в</v>
      </c>
      <c r="AO26" s="43">
        <v>2</v>
      </c>
      <c r="AP26" s="42">
        <v>3</v>
      </c>
      <c r="AQ26" s="120" t="str">
        <f>IF(AP26&gt;AR26,"в","")</f>
        <v>в</v>
      </c>
      <c r="AR26" s="43">
        <v>1</v>
      </c>
      <c r="AS26" s="98"/>
      <c r="AT26" s="99">
        <f>IF(AS26&gt;AU26,"в","")</f>
      </c>
      <c r="AU26" s="100"/>
      <c r="AV26" s="202"/>
      <c r="AW26" s="179"/>
      <c r="AX26" s="184"/>
      <c r="AY26" s="183"/>
      <c r="AZ26" s="176"/>
      <c r="BA26" s="174"/>
      <c r="BB26" s="180"/>
      <c r="BC26" s="44">
        <f>BC25*3</f>
        <v>58.575</v>
      </c>
      <c r="BD26" s="173"/>
      <c r="BE26" s="260"/>
      <c r="BG26" s="236"/>
      <c r="BH26" s="236"/>
      <c r="BJ26" s="22"/>
      <c r="BK26" s="164"/>
      <c r="BL26" s="165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65"/>
    </row>
    <row r="27" spans="1:80" ht="18" customHeight="1" thickBot="1" thickTop="1">
      <c r="A27" s="234"/>
      <c r="B27" s="86"/>
      <c r="C27" s="170"/>
      <c r="D27" s="170"/>
      <c r="E27" s="171"/>
      <c r="F27" s="47"/>
      <c r="G27" s="48"/>
      <c r="H27" s="49"/>
      <c r="I27" s="47">
        <v>30</v>
      </c>
      <c r="J27" s="48">
        <v>27</v>
      </c>
      <c r="K27" s="49">
        <v>27</v>
      </c>
      <c r="L27" s="47">
        <v>25</v>
      </c>
      <c r="M27" s="48">
        <v>22</v>
      </c>
      <c r="N27" s="49">
        <v>21</v>
      </c>
      <c r="O27" s="47">
        <v>40</v>
      </c>
      <c r="P27" s="48">
        <v>25</v>
      </c>
      <c r="Q27" s="49">
        <v>26</v>
      </c>
      <c r="R27" s="47"/>
      <c r="S27" s="48"/>
      <c r="T27" s="49"/>
      <c r="U27" s="47">
        <v>19</v>
      </c>
      <c r="V27" s="48">
        <v>24</v>
      </c>
      <c r="W27" s="49"/>
      <c r="X27" s="45"/>
      <c r="Y27" s="46"/>
      <c r="Z27" s="53"/>
      <c r="AA27" s="47">
        <v>29</v>
      </c>
      <c r="AB27" s="48"/>
      <c r="AC27" s="49"/>
      <c r="AD27" s="47">
        <v>19</v>
      </c>
      <c r="AE27" s="48">
        <v>21</v>
      </c>
      <c r="AF27" s="49">
        <v>27</v>
      </c>
      <c r="AG27" s="47">
        <v>16</v>
      </c>
      <c r="AH27" s="48">
        <v>27</v>
      </c>
      <c r="AI27" s="49">
        <v>34</v>
      </c>
      <c r="AJ27" s="47">
        <v>24</v>
      </c>
      <c r="AK27" s="48">
        <v>24</v>
      </c>
      <c r="AL27" s="49"/>
      <c r="AM27" s="47">
        <v>19</v>
      </c>
      <c r="AN27" s="48">
        <v>21</v>
      </c>
      <c r="AO27" s="49">
        <v>24</v>
      </c>
      <c r="AP27" s="47">
        <v>24</v>
      </c>
      <c r="AQ27" s="48">
        <v>20</v>
      </c>
      <c r="AR27" s="49">
        <v>22</v>
      </c>
      <c r="AS27" s="117"/>
      <c r="AT27" s="118"/>
      <c r="AU27" s="119"/>
      <c r="AV27" s="203"/>
      <c r="AW27" s="178">
        <f>AW25-AY25</f>
        <v>4</v>
      </c>
      <c r="AX27" s="178"/>
      <c r="AY27" s="178"/>
      <c r="AZ27" s="177"/>
      <c r="BA27" s="174"/>
      <c r="BB27" s="180"/>
      <c r="BC27" s="50">
        <f>AVERAGE(F27:AU27)</f>
        <v>24.5</v>
      </c>
      <c r="BD27" s="173"/>
      <c r="BE27" s="261"/>
      <c r="BG27" s="236"/>
      <c r="BH27" s="236"/>
      <c r="BJ27" s="22"/>
      <c r="BK27" s="164"/>
      <c r="BL27" s="165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65"/>
    </row>
    <row r="28" spans="1:80" ht="18" customHeight="1" thickBot="1" thickTop="1">
      <c r="A28" s="234">
        <v>0</v>
      </c>
      <c r="B28" s="84"/>
      <c r="C28" s="166" t="str">
        <f>VLOOKUP(B29,Исходник!$F$3:Исходник!$AY$44,46,FALSE)</f>
        <v>Колпаков Олег
СФДМ, Москва</v>
      </c>
      <c r="D28" s="166"/>
      <c r="E28" s="167"/>
      <c r="F28" s="51"/>
      <c r="G28" s="188">
        <v>18.01</v>
      </c>
      <c r="H28" s="189"/>
      <c r="I28" s="38"/>
      <c r="J28" s="188">
        <v>20.85</v>
      </c>
      <c r="K28" s="189"/>
      <c r="L28" s="38"/>
      <c r="M28" s="188">
        <v>15.18</v>
      </c>
      <c r="N28" s="189"/>
      <c r="O28" s="38"/>
      <c r="P28" s="188">
        <v>23.33</v>
      </c>
      <c r="Q28" s="189"/>
      <c r="R28" s="51"/>
      <c r="S28" s="188">
        <v>18.94</v>
      </c>
      <c r="T28" s="189"/>
      <c r="U28" s="38"/>
      <c r="V28" s="188">
        <v>22.43</v>
      </c>
      <c r="W28" s="189"/>
      <c r="X28" s="38"/>
      <c r="Y28" s="188">
        <v>18.45</v>
      </c>
      <c r="Z28" s="189"/>
      <c r="AA28" s="26"/>
      <c r="AB28" s="211"/>
      <c r="AC28" s="212"/>
      <c r="AD28" s="38"/>
      <c r="AE28" s="188">
        <v>22.77</v>
      </c>
      <c r="AF28" s="189"/>
      <c r="AG28" s="38"/>
      <c r="AH28" s="188">
        <v>19.25</v>
      </c>
      <c r="AI28" s="189"/>
      <c r="AJ28" s="38"/>
      <c r="AK28" s="188">
        <v>19.25</v>
      </c>
      <c r="AL28" s="189"/>
      <c r="AM28" s="38"/>
      <c r="AN28" s="188">
        <v>18.41</v>
      </c>
      <c r="AO28" s="189"/>
      <c r="AP28" s="38"/>
      <c r="AQ28" s="188">
        <v>18.43</v>
      </c>
      <c r="AR28" s="189"/>
      <c r="AS28" s="95"/>
      <c r="AT28" s="190"/>
      <c r="AU28" s="191"/>
      <c r="AV28" s="201">
        <f>COUNTIF(F29:AU29,"в")</f>
        <v>6</v>
      </c>
      <c r="AW28" s="179">
        <f>F29+I29+L29+O29+R29+U29+X29+AA29+AD29+AG29+AJ29+AM29+AP29+AS29</f>
        <v>23</v>
      </c>
      <c r="AX28" s="184" t="s">
        <v>2</v>
      </c>
      <c r="AY28" s="183">
        <f>AU29+AR29+AO29+AL29+AI29+AF29+AC29+Z29+W29+T29+Q29+N29+K29+H29</f>
        <v>24</v>
      </c>
      <c r="AZ28" s="175">
        <f>IF(BL28=0,0,RANK(BL28,$BL$7:$BL$48,0))</f>
        <v>9</v>
      </c>
      <c r="BA28" s="174">
        <f>IF(BL28=0,0,VLOOKUP(AZ28,$BG$7:$BH$48,2,FALSE))</f>
        <v>9</v>
      </c>
      <c r="BB28" s="180">
        <f>A28+BA28</f>
        <v>9</v>
      </c>
      <c r="BC28" s="39">
        <f>AVERAGE(G28,J28,M28,P28,S28,V28,Y28,AB28,AE28,AH28,AK28,AN28,AQ28,AT28)</f>
        <v>19.608333333333334</v>
      </c>
      <c r="BD28" s="172">
        <f>F28+AS28+AP28+AM28+AJ28+AG28+AD28+AA28+X28+U28+R28+O28+L28+I28</f>
        <v>0</v>
      </c>
      <c r="BE28" s="262">
        <v>108</v>
      </c>
      <c r="BG28" s="236">
        <v>8</v>
      </c>
      <c r="BH28" s="236">
        <v>12</v>
      </c>
      <c r="BJ28" s="22"/>
      <c r="BK28" s="164">
        <f>IF((AV28+AW30*0.001)=0,0,AV28+AW30*0.001+1)</f>
        <v>6.999</v>
      </c>
      <c r="BL28" s="165">
        <f>BK28+CB28*0.0001</f>
        <v>6.999</v>
      </c>
      <c r="BM28" s="88"/>
      <c r="BN28" s="89">
        <f>IF(AA29&gt;AC29,1,0)+(AA29-AC29)*0.1</f>
        <v>0</v>
      </c>
      <c r="BO28" s="90">
        <f>IF(AD29&gt;AF29,1,0)+(AD29-AF29)*0.1</f>
        <v>1.3</v>
      </c>
      <c r="BP28" s="90">
        <f>IF(AG29&gt;AI29,1,0)+(AG29-AI29)*0.1</f>
        <v>-0.2</v>
      </c>
      <c r="BQ28" s="90">
        <f>IF(AJ29&gt;AL29,1,0)+(AJ29-AL29)*0.1</f>
        <v>1.2</v>
      </c>
      <c r="BR28" s="90">
        <f>IF(AM29&gt;AO29,1,0)+(AM29-AO29)*0.1</f>
        <v>-0.2</v>
      </c>
      <c r="BS28" s="90">
        <f>IF(AP29&gt;AR29,1,0)+(AP29-AR29)*0.1</f>
        <v>-0.1</v>
      </c>
      <c r="BT28" s="90">
        <f>IF(AS29&gt;AU29,1,0)+(AS29-AU29)*0.1</f>
        <v>0</v>
      </c>
      <c r="BU28" s="90">
        <f>IF(F29&gt;H29,1,0)+(F29-H29)*0.1</f>
        <v>-0.30000000000000004</v>
      </c>
      <c r="BV28" s="90">
        <f>IF(I29&gt;K29,1,0)+(I29-K29)*0.1</f>
        <v>-0.30000000000000004</v>
      </c>
      <c r="BW28" s="90">
        <f>IF(L29&gt;N29,1,0)+(L29-N29)*0.1</f>
        <v>-0.2</v>
      </c>
      <c r="BX28" s="90">
        <f>IF(O29&gt;Q29,1,0)+(O29-Q29)*0.1</f>
        <v>1.3</v>
      </c>
      <c r="BY28" s="90">
        <f>IF(R29&gt;T29,1,0)+(R29-T29)*0.1</f>
        <v>1.1</v>
      </c>
      <c r="BZ28" s="90">
        <f>IF(U29&gt;W29,1,0)+(U29-W29)*0.1</f>
        <v>1.1</v>
      </c>
      <c r="CA28" s="90">
        <f>IF(X29&gt;Z29,1,0)+(X29-Z29)*0.1</f>
        <v>1.2</v>
      </c>
      <c r="CB28" s="165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34"/>
      <c r="B29" s="85">
        <v>8</v>
      </c>
      <c r="C29" s="168"/>
      <c r="D29" s="168"/>
      <c r="E29" s="169"/>
      <c r="F29" s="42">
        <f>AC8</f>
        <v>0</v>
      </c>
      <c r="G29" s="122">
        <f>IF(F29&gt;H29,"в","")</f>
      </c>
      <c r="H29" s="43">
        <f>AA8</f>
        <v>3</v>
      </c>
      <c r="I29" s="42">
        <f>AC11</f>
        <v>0</v>
      </c>
      <c r="J29" s="122">
        <f>IF(I29&gt;K29,"в","")</f>
      </c>
      <c r="K29" s="43">
        <f>AA11</f>
        <v>3</v>
      </c>
      <c r="L29" s="42">
        <f>AC14</f>
        <v>1</v>
      </c>
      <c r="M29" s="122">
        <f>IF(L29&gt;N29,"в","")</f>
      </c>
      <c r="N29" s="43">
        <f>AA14</f>
        <v>3</v>
      </c>
      <c r="O29" s="42">
        <f>AC17</f>
        <v>3</v>
      </c>
      <c r="P29" s="120" t="str">
        <f>IF(O29&gt;Q29,"в","")</f>
        <v>в</v>
      </c>
      <c r="Q29" s="43">
        <f>AA17</f>
        <v>0</v>
      </c>
      <c r="R29" s="42">
        <f>AC20</f>
        <v>3</v>
      </c>
      <c r="S29" s="120" t="str">
        <f>IF(R29&gt;T29,"в","")</f>
        <v>в</v>
      </c>
      <c r="T29" s="43">
        <f>AA20</f>
        <v>2</v>
      </c>
      <c r="U29" s="42">
        <f>AC23</f>
        <v>3</v>
      </c>
      <c r="V29" s="120" t="str">
        <f>IF(U29&gt;W29,"в","")</f>
        <v>в</v>
      </c>
      <c r="W29" s="43">
        <f>AA23</f>
        <v>2</v>
      </c>
      <c r="X29" s="42">
        <f>AC26</f>
        <v>3</v>
      </c>
      <c r="Y29" s="120" t="str">
        <f>IF(X29&gt;Z29,"в","")</f>
        <v>в</v>
      </c>
      <c r="Z29" s="43">
        <f>AA26</f>
        <v>1</v>
      </c>
      <c r="AA29" s="40"/>
      <c r="AB29" s="28">
        <v>8</v>
      </c>
      <c r="AC29" s="52"/>
      <c r="AD29" s="42">
        <v>3</v>
      </c>
      <c r="AE29" s="120" t="str">
        <f>IF(AD29&gt;AF29,"в","")</f>
        <v>в</v>
      </c>
      <c r="AF29" s="43">
        <v>0</v>
      </c>
      <c r="AG29" s="42">
        <v>1</v>
      </c>
      <c r="AH29" s="122">
        <f>IF(AG29&gt;AI29,"в","")</f>
      </c>
      <c r="AI29" s="43">
        <v>3</v>
      </c>
      <c r="AJ29" s="42">
        <v>3</v>
      </c>
      <c r="AK29" s="120" t="str">
        <f>IF(AJ29&gt;AL29,"в","")</f>
        <v>в</v>
      </c>
      <c r="AL29" s="43">
        <v>1</v>
      </c>
      <c r="AM29" s="42">
        <v>1</v>
      </c>
      <c r="AN29" s="122">
        <f>IF(AM29&gt;AO29,"в","")</f>
      </c>
      <c r="AO29" s="43">
        <v>3</v>
      </c>
      <c r="AP29" s="42">
        <v>2</v>
      </c>
      <c r="AQ29" s="122">
        <f>IF(AP29&gt;AR29,"в","")</f>
      </c>
      <c r="AR29" s="43">
        <v>3</v>
      </c>
      <c r="AS29" s="98"/>
      <c r="AT29" s="99">
        <f>IF(AS29&gt;AU29,"в","")</f>
      </c>
      <c r="AU29" s="100"/>
      <c r="AV29" s="202"/>
      <c r="AW29" s="179"/>
      <c r="AX29" s="184"/>
      <c r="AY29" s="183"/>
      <c r="AZ29" s="176"/>
      <c r="BA29" s="174"/>
      <c r="BB29" s="180"/>
      <c r="BC29" s="44">
        <f>BC28*3</f>
        <v>58.825</v>
      </c>
      <c r="BD29" s="173"/>
      <c r="BE29" s="260"/>
      <c r="BG29" s="236"/>
      <c r="BH29" s="236"/>
      <c r="BJ29" s="22"/>
      <c r="BK29" s="164"/>
      <c r="BL29" s="165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65"/>
    </row>
    <row r="30" spans="1:80" ht="18" customHeight="1" thickBot="1" thickTop="1">
      <c r="A30" s="234"/>
      <c r="B30" s="86"/>
      <c r="C30" s="170"/>
      <c r="D30" s="170"/>
      <c r="E30" s="171"/>
      <c r="F30" s="47"/>
      <c r="G30" s="48"/>
      <c r="H30" s="49"/>
      <c r="I30" s="47"/>
      <c r="J30" s="48"/>
      <c r="K30" s="49"/>
      <c r="L30" s="47">
        <v>24</v>
      </c>
      <c r="M30" s="48"/>
      <c r="N30" s="49"/>
      <c r="O30" s="47">
        <v>29</v>
      </c>
      <c r="P30" s="48">
        <v>19</v>
      </c>
      <c r="Q30" s="49">
        <v>17</v>
      </c>
      <c r="R30" s="47">
        <v>26</v>
      </c>
      <c r="S30" s="48">
        <v>33</v>
      </c>
      <c r="T30" s="49">
        <v>21</v>
      </c>
      <c r="U30" s="47">
        <v>20</v>
      </c>
      <c r="V30" s="48">
        <v>23</v>
      </c>
      <c r="W30" s="49">
        <v>21</v>
      </c>
      <c r="X30" s="47">
        <v>26</v>
      </c>
      <c r="Y30" s="48">
        <v>27</v>
      </c>
      <c r="Z30" s="49">
        <v>26</v>
      </c>
      <c r="AA30" s="45"/>
      <c r="AB30" s="46"/>
      <c r="AC30" s="53"/>
      <c r="AD30" s="47">
        <v>23</v>
      </c>
      <c r="AE30" s="48">
        <v>27</v>
      </c>
      <c r="AF30" s="49">
        <v>16</v>
      </c>
      <c r="AG30" s="47">
        <v>27</v>
      </c>
      <c r="AH30" s="48"/>
      <c r="AI30" s="49"/>
      <c r="AJ30" s="47">
        <v>33</v>
      </c>
      <c r="AK30" s="48">
        <v>23</v>
      </c>
      <c r="AL30" s="49">
        <v>26</v>
      </c>
      <c r="AM30" s="47">
        <v>34</v>
      </c>
      <c r="AN30" s="48">
        <v>23</v>
      </c>
      <c r="AO30" s="49"/>
      <c r="AP30" s="47">
        <v>21</v>
      </c>
      <c r="AQ30" s="48">
        <v>32</v>
      </c>
      <c r="AR30" s="49"/>
      <c r="AS30" s="117"/>
      <c r="AT30" s="118"/>
      <c r="AU30" s="119"/>
      <c r="AV30" s="203"/>
      <c r="AW30" s="178">
        <f>AW28-AY28</f>
        <v>-1</v>
      </c>
      <c r="AX30" s="178"/>
      <c r="AY30" s="178"/>
      <c r="AZ30" s="177"/>
      <c r="BA30" s="174"/>
      <c r="BB30" s="180"/>
      <c r="BC30" s="50">
        <f>AVERAGE(F30:AU30)</f>
        <v>24.875</v>
      </c>
      <c r="BD30" s="173"/>
      <c r="BE30" s="261"/>
      <c r="BG30" s="236"/>
      <c r="BH30" s="236"/>
      <c r="BJ30" s="22"/>
      <c r="BK30" s="164"/>
      <c r="BL30" s="165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65"/>
    </row>
    <row r="31" spans="1:80" ht="18" customHeight="1" thickBot="1" thickTop="1">
      <c r="A31" s="234">
        <v>0</v>
      </c>
      <c r="B31" s="84"/>
      <c r="C31" s="166" t="str">
        <f>VLOOKUP(B32,Исходник!$F$3:Исходник!$AY$44,46,FALSE)</f>
        <v>Соболев Артем
СФДМ, Москва</v>
      </c>
      <c r="D31" s="166"/>
      <c r="E31" s="167"/>
      <c r="F31" s="38"/>
      <c r="G31" s="188">
        <v>20.33</v>
      </c>
      <c r="H31" s="189"/>
      <c r="I31" s="38"/>
      <c r="J31" s="188">
        <v>22.81</v>
      </c>
      <c r="K31" s="189"/>
      <c r="L31" s="38"/>
      <c r="M31" s="188">
        <v>21.47</v>
      </c>
      <c r="N31" s="189"/>
      <c r="O31" s="38"/>
      <c r="P31" s="188">
        <v>15.66</v>
      </c>
      <c r="Q31" s="189"/>
      <c r="R31" s="38"/>
      <c r="S31" s="188">
        <v>21.33</v>
      </c>
      <c r="T31" s="189"/>
      <c r="U31" s="38"/>
      <c r="V31" s="188">
        <v>18.55</v>
      </c>
      <c r="W31" s="189"/>
      <c r="X31" s="38"/>
      <c r="Y31" s="188">
        <v>19.21</v>
      </c>
      <c r="Z31" s="189"/>
      <c r="AA31" s="38"/>
      <c r="AB31" s="188">
        <v>20.25</v>
      </c>
      <c r="AC31" s="189"/>
      <c r="AD31" s="26"/>
      <c r="AE31" s="211"/>
      <c r="AF31" s="212"/>
      <c r="AG31" s="38"/>
      <c r="AH31" s="188">
        <v>19.52</v>
      </c>
      <c r="AI31" s="189"/>
      <c r="AJ31" s="38">
        <v>1</v>
      </c>
      <c r="AK31" s="188">
        <v>16.33</v>
      </c>
      <c r="AL31" s="189"/>
      <c r="AM31" s="38"/>
      <c r="AN31" s="188">
        <v>20.46</v>
      </c>
      <c r="AO31" s="189"/>
      <c r="AP31" s="38"/>
      <c r="AQ31" s="188">
        <v>20.91</v>
      </c>
      <c r="AR31" s="189"/>
      <c r="AS31" s="95"/>
      <c r="AT31" s="190"/>
      <c r="AU31" s="191"/>
      <c r="AV31" s="201">
        <f>COUNTIF(F32:AU32,"в")</f>
        <v>7</v>
      </c>
      <c r="AW31" s="179">
        <f>F32+I32+L32+O32+R32+U32+X32+AA32+AD32+AG32+AJ32+AM32+AP32+AS32</f>
        <v>26</v>
      </c>
      <c r="AX31" s="184" t="s">
        <v>2</v>
      </c>
      <c r="AY31" s="183">
        <f>AU32+AR32+AO32+AL32+AI32+AF32+AC32+Z32+W32+T32+Q32+N32+K32+H32</f>
        <v>19</v>
      </c>
      <c r="AZ31" s="175">
        <f>IF(BL31=0,0,RANK(BL31,$BL$7:$BL$48,0))</f>
        <v>2</v>
      </c>
      <c r="BA31" s="174">
        <f>IF(BL31=0,0,VLOOKUP(AZ31,$BG$7:$BH$48,2,FALSE))</f>
        <v>26</v>
      </c>
      <c r="BB31" s="180">
        <f>A31+BA31</f>
        <v>26</v>
      </c>
      <c r="BC31" s="39">
        <f>AVERAGE(G31,J31,M31,P31,S31,V31,Y31,AB31,AE31,AH31,AK31,AN31,AQ31,AT31)</f>
        <v>19.735833333333332</v>
      </c>
      <c r="BD31" s="172">
        <f>F31+AS31+AP31+AM31+AJ31+AG31+AD31+AA31+X31+U31+R31+O31+L31+I31</f>
        <v>1</v>
      </c>
      <c r="BE31" s="262">
        <v>110.121</v>
      </c>
      <c r="BG31" s="236">
        <v>9</v>
      </c>
      <c r="BH31" s="236">
        <v>9</v>
      </c>
      <c r="BJ31" s="22"/>
      <c r="BK31" s="164">
        <f>IF((AV31+AW33*0.001)=0,0,AV31+AW33*0.001+1)</f>
        <v>8.007</v>
      </c>
      <c r="BL31" s="165">
        <f>BK31+CB31*0.0001</f>
        <v>8.007</v>
      </c>
      <c r="BM31" s="88"/>
      <c r="BN31" s="89">
        <f>IF(AD32&gt;AF32,1,0)+(AD32-AF32)*0.1</f>
        <v>0</v>
      </c>
      <c r="BO31" s="90">
        <f>IF(AG32&gt;AI32,1,0)+(AG32-AI32)*0.1</f>
        <v>1.3</v>
      </c>
      <c r="BP31" s="90">
        <f>IF(AJ32&gt;AL32,1,0)+(AJ32-AL32)*0.1</f>
        <v>-0.1</v>
      </c>
      <c r="BQ31" s="90">
        <f>IF(AM32&gt;AO32,1,0)+(AM32-AO32)*0.1</f>
        <v>-0.30000000000000004</v>
      </c>
      <c r="BR31" s="90">
        <f>IF(AP32&gt;AR32,1,0)+(AP32-AR32)*0.1</f>
        <v>1.1</v>
      </c>
      <c r="BS31" s="90">
        <f>IF(AS32&gt;AU32,1,0)+(AS32-AU32)*0.1</f>
        <v>0</v>
      </c>
      <c r="BT31" s="90">
        <f>IF(F32&gt;H32,1,0)+(F32-H32)*0.1</f>
        <v>-0.1</v>
      </c>
      <c r="BU31" s="90">
        <f>IF(I32&gt;K32,1,0)+(I32-K32)*0.1</f>
        <v>1.1</v>
      </c>
      <c r="BV31" s="90">
        <f>IF(L32&gt;N32,1,0)+(L32-N32)*0.1</f>
        <v>1.3</v>
      </c>
      <c r="BW31" s="90">
        <f>IF(O32&gt;Q32,1,0)+(O32-Q32)*0.1</f>
        <v>1.3</v>
      </c>
      <c r="BX31" s="90">
        <f>IF(R32&gt;T32,1,0)+(R32-T32)*0.1</f>
        <v>1.3</v>
      </c>
      <c r="BY31" s="90">
        <f>IF(U32&gt;W32,1,0)+(U32-W32)*0.1</f>
        <v>1.3</v>
      </c>
      <c r="BZ31" s="90">
        <f>IF(X32&gt;Z32,1,0)+(X32-Z32)*0.1</f>
        <v>-0.2</v>
      </c>
      <c r="CA31" s="90">
        <f>IF(AA32&gt;AC32,1,0)+(AA32-AC32)*0.1</f>
        <v>-0.30000000000000004</v>
      </c>
      <c r="CB31" s="165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34"/>
      <c r="B32" s="85">
        <v>9</v>
      </c>
      <c r="C32" s="168"/>
      <c r="D32" s="168"/>
      <c r="E32" s="169"/>
      <c r="F32" s="42">
        <f>AF8</f>
        <v>2</v>
      </c>
      <c r="G32" s="122">
        <f>IF(F32&gt;H32,"в","")</f>
      </c>
      <c r="H32" s="43">
        <f>AD8</f>
        <v>3</v>
      </c>
      <c r="I32" s="42">
        <f>AF11</f>
        <v>3</v>
      </c>
      <c r="J32" s="120" t="str">
        <f>IF(I32&gt;K32,"в","")</f>
        <v>в</v>
      </c>
      <c r="K32" s="43">
        <f>AD11</f>
        <v>2</v>
      </c>
      <c r="L32" s="42">
        <f>AF14</f>
        <v>3</v>
      </c>
      <c r="M32" s="120" t="str">
        <f>IF(L32&gt;N32,"в","")</f>
        <v>в</v>
      </c>
      <c r="N32" s="43">
        <f>AD14</f>
        <v>0</v>
      </c>
      <c r="O32" s="42">
        <f>AF17</f>
        <v>3</v>
      </c>
      <c r="P32" s="120" t="str">
        <f>IF(O32&gt;Q32,"в","")</f>
        <v>в</v>
      </c>
      <c r="Q32" s="43">
        <f>AD17</f>
        <v>0</v>
      </c>
      <c r="R32" s="42">
        <f>AF20</f>
        <v>3</v>
      </c>
      <c r="S32" s="120" t="str">
        <f>IF(R32&gt;T32,"в","")</f>
        <v>в</v>
      </c>
      <c r="T32" s="43">
        <f>AD20</f>
        <v>0</v>
      </c>
      <c r="U32" s="42">
        <f>AF23</f>
        <v>3</v>
      </c>
      <c r="V32" s="120" t="str">
        <f>IF(U32&gt;W32,"в","")</f>
        <v>в</v>
      </c>
      <c r="W32" s="43">
        <f>AD23</f>
        <v>0</v>
      </c>
      <c r="X32" s="42">
        <f>AF26</f>
        <v>1</v>
      </c>
      <c r="Y32" s="122">
        <f>IF(X32&gt;Z32,"в","")</f>
      </c>
      <c r="Z32" s="43">
        <f>AD26</f>
        <v>3</v>
      </c>
      <c r="AA32" s="42">
        <f>AF29</f>
        <v>0</v>
      </c>
      <c r="AB32" s="122">
        <f>IF(AA32&gt;AC32,"в","")</f>
      </c>
      <c r="AC32" s="43">
        <f>AD29</f>
        <v>3</v>
      </c>
      <c r="AD32" s="40"/>
      <c r="AE32" s="28">
        <v>9</v>
      </c>
      <c r="AF32" s="52"/>
      <c r="AG32" s="42">
        <v>3</v>
      </c>
      <c r="AH32" s="120" t="str">
        <f>IF(AG32&gt;AI32,"в","")</f>
        <v>в</v>
      </c>
      <c r="AI32" s="43">
        <v>0</v>
      </c>
      <c r="AJ32" s="42">
        <v>2</v>
      </c>
      <c r="AK32" s="122">
        <f>IF(AJ32&gt;AL32,"в","")</f>
      </c>
      <c r="AL32" s="43">
        <v>3</v>
      </c>
      <c r="AM32" s="42">
        <v>0</v>
      </c>
      <c r="AN32" s="122">
        <f>IF(AM32&gt;AO32,"в","")</f>
      </c>
      <c r="AO32" s="43">
        <v>3</v>
      </c>
      <c r="AP32" s="42">
        <v>3</v>
      </c>
      <c r="AQ32" s="120" t="str">
        <f>IF(AP32&gt;AR32,"в","")</f>
        <v>в</v>
      </c>
      <c r="AR32" s="43">
        <v>2</v>
      </c>
      <c r="AS32" s="98"/>
      <c r="AT32" s="99">
        <f>IF(AS32&gt;AU32,"в","")</f>
      </c>
      <c r="AU32" s="100"/>
      <c r="AV32" s="202"/>
      <c r="AW32" s="179"/>
      <c r="AX32" s="184"/>
      <c r="AY32" s="183"/>
      <c r="AZ32" s="176"/>
      <c r="BA32" s="174"/>
      <c r="BB32" s="180"/>
      <c r="BC32" s="44">
        <f>BC31*3</f>
        <v>59.207499999999996</v>
      </c>
      <c r="BD32" s="173"/>
      <c r="BE32" s="260"/>
      <c r="BG32" s="236"/>
      <c r="BH32" s="236"/>
      <c r="BJ32" s="22"/>
      <c r="BK32" s="164"/>
      <c r="BL32" s="165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65"/>
    </row>
    <row r="33" spans="1:80" ht="18" customHeight="1" thickBot="1" thickTop="1">
      <c r="A33" s="234"/>
      <c r="B33" s="86"/>
      <c r="C33" s="170"/>
      <c r="D33" s="170"/>
      <c r="E33" s="171"/>
      <c r="F33" s="47">
        <v>23</v>
      </c>
      <c r="G33" s="48">
        <v>17</v>
      </c>
      <c r="H33" s="49"/>
      <c r="I33" s="47">
        <v>23</v>
      </c>
      <c r="J33" s="48">
        <v>18</v>
      </c>
      <c r="K33" s="49">
        <v>28</v>
      </c>
      <c r="L33" s="47">
        <v>26</v>
      </c>
      <c r="M33" s="48">
        <v>22</v>
      </c>
      <c r="N33" s="49">
        <v>22</v>
      </c>
      <c r="O33" s="47">
        <v>39</v>
      </c>
      <c r="P33" s="48">
        <v>31</v>
      </c>
      <c r="Q33" s="49">
        <v>26</v>
      </c>
      <c r="R33" s="47">
        <v>21</v>
      </c>
      <c r="S33" s="48">
        <v>21</v>
      </c>
      <c r="T33" s="49">
        <v>22</v>
      </c>
      <c r="U33" s="47">
        <v>33</v>
      </c>
      <c r="V33" s="48">
        <v>23</v>
      </c>
      <c r="W33" s="49">
        <v>25</v>
      </c>
      <c r="X33" s="47">
        <v>27</v>
      </c>
      <c r="Y33" s="48"/>
      <c r="Z33" s="49"/>
      <c r="AA33" s="47"/>
      <c r="AB33" s="48"/>
      <c r="AC33" s="49"/>
      <c r="AD33" s="45"/>
      <c r="AE33" s="46"/>
      <c r="AF33" s="53"/>
      <c r="AG33" s="47">
        <v>23</v>
      </c>
      <c r="AH33" s="48">
        <v>30</v>
      </c>
      <c r="AI33" s="49">
        <v>25</v>
      </c>
      <c r="AJ33" s="47">
        <v>26</v>
      </c>
      <c r="AK33" s="48">
        <v>32</v>
      </c>
      <c r="AL33" s="49"/>
      <c r="AM33" s="47"/>
      <c r="AN33" s="48"/>
      <c r="AO33" s="49"/>
      <c r="AP33" s="47">
        <v>29</v>
      </c>
      <c r="AQ33" s="48">
        <v>21</v>
      </c>
      <c r="AR33" s="49">
        <v>18</v>
      </c>
      <c r="AS33" s="117"/>
      <c r="AT33" s="118"/>
      <c r="AU33" s="119"/>
      <c r="AV33" s="203"/>
      <c r="AW33" s="178">
        <f>AW31-AY31</f>
        <v>7</v>
      </c>
      <c r="AX33" s="178"/>
      <c r="AY33" s="178"/>
      <c r="AZ33" s="177"/>
      <c r="BA33" s="174"/>
      <c r="BB33" s="180"/>
      <c r="BC33" s="50">
        <f>AVERAGE(F33:AU33)</f>
        <v>25.03846153846154</v>
      </c>
      <c r="BD33" s="173"/>
      <c r="BE33" s="261"/>
      <c r="BG33" s="236"/>
      <c r="BH33" s="236"/>
      <c r="BJ33" s="22"/>
      <c r="BK33" s="164"/>
      <c r="BL33" s="165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65"/>
    </row>
    <row r="34" spans="1:80" ht="18" customHeight="1" thickBot="1" thickTop="1">
      <c r="A34" s="234">
        <v>0</v>
      </c>
      <c r="B34" s="84"/>
      <c r="C34" s="166" t="str">
        <f>VLOOKUP(B35,Исходник!$F$3:Исходник!$AY$44,46,FALSE)</f>
        <v>Сердюк Владимир
СФДМ, Москва</v>
      </c>
      <c r="D34" s="166"/>
      <c r="E34" s="167"/>
      <c r="F34" s="51"/>
      <c r="G34" s="188">
        <v>18.42</v>
      </c>
      <c r="H34" s="189"/>
      <c r="I34" s="51"/>
      <c r="J34" s="188">
        <v>18.56</v>
      </c>
      <c r="K34" s="189"/>
      <c r="L34" s="51"/>
      <c r="M34" s="188">
        <v>18.39</v>
      </c>
      <c r="N34" s="189"/>
      <c r="O34" s="38"/>
      <c r="P34" s="188">
        <v>18.53</v>
      </c>
      <c r="Q34" s="189"/>
      <c r="R34" s="38"/>
      <c r="S34" s="188">
        <v>18.42</v>
      </c>
      <c r="T34" s="189"/>
      <c r="U34" s="51"/>
      <c r="V34" s="188">
        <v>18.18</v>
      </c>
      <c r="W34" s="189"/>
      <c r="X34" s="38"/>
      <c r="Y34" s="188">
        <v>18.46</v>
      </c>
      <c r="Z34" s="189"/>
      <c r="AA34" s="51"/>
      <c r="AB34" s="188">
        <v>18.15</v>
      </c>
      <c r="AC34" s="189"/>
      <c r="AD34" s="51"/>
      <c r="AE34" s="188">
        <v>18.27</v>
      </c>
      <c r="AF34" s="189"/>
      <c r="AG34" s="26"/>
      <c r="AH34" s="211"/>
      <c r="AI34" s="212"/>
      <c r="AJ34" s="38"/>
      <c r="AK34" s="188">
        <v>18.39</v>
      </c>
      <c r="AL34" s="189"/>
      <c r="AM34" s="38"/>
      <c r="AN34" s="188">
        <v>19.3</v>
      </c>
      <c r="AO34" s="189"/>
      <c r="AP34" s="38"/>
      <c r="AQ34" s="188">
        <v>18.43</v>
      </c>
      <c r="AR34" s="189"/>
      <c r="AS34" s="95"/>
      <c r="AT34" s="190"/>
      <c r="AU34" s="191"/>
      <c r="AV34" s="201">
        <f>COUNTIF(F35:AU35,"в")</f>
        <v>4</v>
      </c>
      <c r="AW34" s="179">
        <f>F35+I35+L35+O35+R35+U35+X35+AA35+AD35+AG35+AJ35+AM35+AP35+AS35</f>
        <v>18</v>
      </c>
      <c r="AX34" s="184" t="s">
        <v>2</v>
      </c>
      <c r="AY34" s="183">
        <f>AU35+AR35+AO35+AL35+AI35+AF35+AC35+Z35+W35+T35+Q35+N35+K35+H35</f>
        <v>30</v>
      </c>
      <c r="AZ34" s="175">
        <f>IF(BL34=0,0,RANK(BL34,$BL$7:$BL$48,0))</f>
        <v>11</v>
      </c>
      <c r="BA34" s="174">
        <f>IF(BL34=0,0,VLOOKUP(AZ34,$BG$7:$BH$48,2,FALSE))</f>
        <v>7</v>
      </c>
      <c r="BB34" s="180">
        <f>A34+BA34</f>
        <v>7</v>
      </c>
      <c r="BC34" s="39">
        <f>AVERAGE(G34,J34,M34,P34,S34,V34,Y34,AB34,AE34,AH34,AK34,AN34,AQ34,AT34)</f>
        <v>18.45833333333334</v>
      </c>
      <c r="BD34" s="172">
        <f>F34+AS34+AP34+AM34+AJ34+AG34+AD34+AA34+X34+U34+R34+O34+L34+I34</f>
        <v>0</v>
      </c>
      <c r="BE34" s="259"/>
      <c r="BG34" s="236">
        <v>10</v>
      </c>
      <c r="BH34" s="236">
        <v>8</v>
      </c>
      <c r="BJ34" s="22"/>
      <c r="BK34" s="164">
        <f>IF((AV34+AW36*0.001)=0,0,AV34+AW36*0.001+1)</f>
        <v>4.9879999999999995</v>
      </c>
      <c r="BL34" s="165">
        <f>BK34+CB34*0.0001</f>
        <v>4.9879999999999995</v>
      </c>
      <c r="BM34" s="88"/>
      <c r="BN34" s="89">
        <f>IF(AG35&gt;AI35,1,0)+(AG35-AI35)*0.1</f>
        <v>0</v>
      </c>
      <c r="BO34" s="90">
        <f>IF(AJ35&gt;AL35,1,0)+(AJ35-AL35)*0.1</f>
        <v>-0.30000000000000004</v>
      </c>
      <c r="BP34" s="90">
        <f>IF(AM35&gt;AO35,1,0)+(AM35-AO35)*0.1</f>
        <v>1.2</v>
      </c>
      <c r="BQ34" s="90">
        <f>IF(AP35&gt;AR35,1,0)+(AP35-AR35)*0.1</f>
        <v>-0.1</v>
      </c>
      <c r="BR34" s="90">
        <f>IF(AS35&gt;AU35,1,0)+(AS35-AU35)*0.1</f>
        <v>0</v>
      </c>
      <c r="BS34" s="90">
        <f>IF(F35&gt;H35,1,0)+(F35-H35)*0.1</f>
        <v>-0.30000000000000004</v>
      </c>
      <c r="BT34" s="90">
        <f>IF(I35&gt;K35,1,0)+(I35-K35)*0.1</f>
        <v>-0.2</v>
      </c>
      <c r="BU34" s="90">
        <f>IF(L35&gt;N35,1,0)+(L35-N35)*0.1</f>
        <v>-0.1</v>
      </c>
      <c r="BV34" s="90">
        <f>IF(O35&gt;Q35,1,0)+(O35-Q35)*0.1</f>
        <v>1.1</v>
      </c>
      <c r="BW34" s="90">
        <f>IF(R35&gt;T35,1,0)+(R35-T35)*0.1</f>
        <v>-0.2</v>
      </c>
      <c r="BX34" s="90">
        <f>IF(U35&gt;W35,1,0)+(U35-W35)*0.1</f>
        <v>1.1</v>
      </c>
      <c r="BY34" s="90">
        <f>IF(X35&gt;Z35,1,0)+(X35-Z35)*0.1</f>
        <v>-0.30000000000000004</v>
      </c>
      <c r="BZ34" s="90">
        <f>IF(AA35&gt;AC35,1,0)+(AA35-AC35)*0.1</f>
        <v>1.2</v>
      </c>
      <c r="CA34" s="90">
        <f>IF(AD35&gt;AF35,1,0)+(AD35-AF35)*0.1</f>
        <v>-0.30000000000000004</v>
      </c>
      <c r="CB34" s="165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34"/>
      <c r="B35" s="85">
        <v>10</v>
      </c>
      <c r="C35" s="168"/>
      <c r="D35" s="168"/>
      <c r="E35" s="169"/>
      <c r="F35" s="42">
        <f>AI8</f>
        <v>0</v>
      </c>
      <c r="G35" s="122">
        <f>IF(F35&gt;H35,"в","")</f>
      </c>
      <c r="H35" s="43">
        <f>AG8</f>
        <v>3</v>
      </c>
      <c r="I35" s="42">
        <f>AI11</f>
        <v>1</v>
      </c>
      <c r="J35" s="122">
        <f>IF(I35&gt;K35,"в","")</f>
      </c>
      <c r="K35" s="43">
        <f>AG11</f>
        <v>3</v>
      </c>
      <c r="L35" s="42">
        <f>AI14</f>
        <v>2</v>
      </c>
      <c r="M35" s="122">
        <f>IF(L35&gt;N35,"в","")</f>
      </c>
      <c r="N35" s="43">
        <f>AG14</f>
        <v>3</v>
      </c>
      <c r="O35" s="42">
        <f>AI17</f>
        <v>3</v>
      </c>
      <c r="P35" s="120" t="str">
        <f>IF(O35&gt;Q35,"в","")</f>
        <v>в</v>
      </c>
      <c r="Q35" s="43">
        <f>AG17</f>
        <v>2</v>
      </c>
      <c r="R35" s="42">
        <f>AI20</f>
        <v>1</v>
      </c>
      <c r="S35" s="122">
        <f>IF(R35&gt;T35,"в","")</f>
      </c>
      <c r="T35" s="43">
        <f>AG20</f>
        <v>3</v>
      </c>
      <c r="U35" s="42">
        <f>AI23</f>
        <v>3</v>
      </c>
      <c r="V35" s="120" t="str">
        <f>IF(U35&gt;W35,"в","")</f>
        <v>в</v>
      </c>
      <c r="W35" s="43">
        <f>AG23</f>
        <v>2</v>
      </c>
      <c r="X35" s="42">
        <f>AI26</f>
        <v>0</v>
      </c>
      <c r="Y35" s="122">
        <f>IF(X35&gt;Z35,"в","")</f>
      </c>
      <c r="Z35" s="43">
        <f>AG26</f>
        <v>3</v>
      </c>
      <c r="AA35" s="42">
        <f>AI29</f>
        <v>3</v>
      </c>
      <c r="AB35" s="120" t="str">
        <f>IF(AA35&gt;AC35,"в","")</f>
        <v>в</v>
      </c>
      <c r="AC35" s="43">
        <f>AG29</f>
        <v>1</v>
      </c>
      <c r="AD35" s="42">
        <f>AI32</f>
        <v>0</v>
      </c>
      <c r="AE35" s="122">
        <f>IF(AD35&gt;AF35,"в","")</f>
      </c>
      <c r="AF35" s="43">
        <f>AG32</f>
        <v>3</v>
      </c>
      <c r="AG35" s="40"/>
      <c r="AH35" s="28">
        <v>10</v>
      </c>
      <c r="AI35" s="52"/>
      <c r="AJ35" s="42">
        <v>0</v>
      </c>
      <c r="AK35" s="122">
        <f>IF(AJ35&gt;AL35,"в","")</f>
      </c>
      <c r="AL35" s="43">
        <v>3</v>
      </c>
      <c r="AM35" s="42">
        <v>3</v>
      </c>
      <c r="AN35" s="120" t="str">
        <f>IF(AM35&gt;AO35,"в","")</f>
        <v>в</v>
      </c>
      <c r="AO35" s="43">
        <v>1</v>
      </c>
      <c r="AP35" s="42">
        <v>2</v>
      </c>
      <c r="AQ35" s="122">
        <f>IF(AP35&gt;AR35,"в","")</f>
      </c>
      <c r="AR35" s="43">
        <v>3</v>
      </c>
      <c r="AS35" s="98"/>
      <c r="AT35" s="99">
        <f>IF(AS35&gt;AU35,"в","")</f>
      </c>
      <c r="AU35" s="100"/>
      <c r="AV35" s="202"/>
      <c r="AW35" s="179"/>
      <c r="AX35" s="184"/>
      <c r="AY35" s="183"/>
      <c r="AZ35" s="176"/>
      <c r="BA35" s="174"/>
      <c r="BB35" s="180"/>
      <c r="BC35" s="44">
        <f>BC34*3</f>
        <v>55.375000000000014</v>
      </c>
      <c r="BD35" s="173"/>
      <c r="BE35" s="260"/>
      <c r="BG35" s="236"/>
      <c r="BH35" s="236"/>
      <c r="BJ35" s="22"/>
      <c r="BK35" s="164"/>
      <c r="BL35" s="165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65"/>
    </row>
    <row r="36" spans="1:80" ht="18" customHeight="1" thickBot="1" thickTop="1">
      <c r="A36" s="234"/>
      <c r="B36" s="86"/>
      <c r="C36" s="170"/>
      <c r="D36" s="170"/>
      <c r="E36" s="171"/>
      <c r="F36" s="47"/>
      <c r="G36" s="48"/>
      <c r="H36" s="49"/>
      <c r="I36" s="47">
        <v>26</v>
      </c>
      <c r="J36" s="48"/>
      <c r="K36" s="49"/>
      <c r="L36" s="47">
        <v>29</v>
      </c>
      <c r="M36" s="48">
        <v>27</v>
      </c>
      <c r="N36" s="49"/>
      <c r="O36" s="47">
        <v>30</v>
      </c>
      <c r="P36" s="48">
        <v>28</v>
      </c>
      <c r="Q36" s="49">
        <v>25</v>
      </c>
      <c r="R36" s="47">
        <v>24</v>
      </c>
      <c r="S36" s="48"/>
      <c r="T36" s="49"/>
      <c r="U36" s="47">
        <v>25</v>
      </c>
      <c r="V36" s="48">
        <v>23</v>
      </c>
      <c r="W36" s="49">
        <v>22</v>
      </c>
      <c r="X36" s="47"/>
      <c r="Y36" s="48"/>
      <c r="Z36" s="49"/>
      <c r="AA36" s="47">
        <v>31</v>
      </c>
      <c r="AB36" s="48">
        <v>32</v>
      </c>
      <c r="AC36" s="49">
        <v>25</v>
      </c>
      <c r="AD36" s="47"/>
      <c r="AE36" s="48"/>
      <c r="AF36" s="49"/>
      <c r="AG36" s="45"/>
      <c r="AH36" s="46"/>
      <c r="AI36" s="53"/>
      <c r="AJ36" s="47"/>
      <c r="AK36" s="48"/>
      <c r="AL36" s="49"/>
      <c r="AM36" s="47">
        <v>24</v>
      </c>
      <c r="AN36" s="48">
        <v>20</v>
      </c>
      <c r="AO36" s="49">
        <v>27</v>
      </c>
      <c r="AP36" s="47">
        <v>29</v>
      </c>
      <c r="AQ36" s="48">
        <v>21</v>
      </c>
      <c r="AR36" s="49"/>
      <c r="AS36" s="117"/>
      <c r="AT36" s="118"/>
      <c r="AU36" s="119"/>
      <c r="AV36" s="203"/>
      <c r="AW36" s="178">
        <f>AW34-AY34</f>
        <v>-12</v>
      </c>
      <c r="AX36" s="178"/>
      <c r="AY36" s="178"/>
      <c r="AZ36" s="177"/>
      <c r="BA36" s="174"/>
      <c r="BB36" s="180"/>
      <c r="BC36" s="50">
        <f>AVERAGE(F36:AU36)</f>
        <v>26</v>
      </c>
      <c r="BD36" s="173"/>
      <c r="BE36" s="261"/>
      <c r="BG36" s="236"/>
      <c r="BH36" s="236"/>
      <c r="BJ36" s="22"/>
      <c r="BK36" s="164"/>
      <c r="BL36" s="165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65"/>
    </row>
    <row r="37" spans="1:80" ht="18" customHeight="1" thickBot="1" thickTop="1">
      <c r="A37" s="234">
        <v>0</v>
      </c>
      <c r="B37" s="84"/>
      <c r="C37" s="166" t="str">
        <f>VLOOKUP(B38,Исходник!$F$3:Исходник!$AY$44,46,FALSE)</f>
        <v>Шашеро Антон
СФДМ, Москва</v>
      </c>
      <c r="D37" s="166"/>
      <c r="E37" s="167"/>
      <c r="F37" s="38"/>
      <c r="G37" s="188">
        <v>20.02</v>
      </c>
      <c r="H37" s="189"/>
      <c r="I37" s="38">
        <v>1</v>
      </c>
      <c r="J37" s="188">
        <v>22.11</v>
      </c>
      <c r="K37" s="189"/>
      <c r="L37" s="38"/>
      <c r="M37" s="188">
        <v>19.66</v>
      </c>
      <c r="N37" s="189"/>
      <c r="O37" s="38"/>
      <c r="P37" s="188">
        <v>22.77</v>
      </c>
      <c r="Q37" s="189"/>
      <c r="R37" s="38"/>
      <c r="S37" s="188">
        <v>21.75</v>
      </c>
      <c r="T37" s="189"/>
      <c r="U37" s="51"/>
      <c r="V37" s="188">
        <v>19.33</v>
      </c>
      <c r="W37" s="189"/>
      <c r="X37" s="51"/>
      <c r="Y37" s="188">
        <v>21.24</v>
      </c>
      <c r="Z37" s="189"/>
      <c r="AA37" s="38"/>
      <c r="AB37" s="188">
        <v>19.12</v>
      </c>
      <c r="AC37" s="189"/>
      <c r="AD37" s="51"/>
      <c r="AE37" s="188">
        <v>18.27</v>
      </c>
      <c r="AF37" s="189"/>
      <c r="AG37" s="38"/>
      <c r="AH37" s="188">
        <v>19.54</v>
      </c>
      <c r="AI37" s="189"/>
      <c r="AJ37" s="26"/>
      <c r="AK37" s="211"/>
      <c r="AL37" s="212"/>
      <c r="AM37" s="38"/>
      <c r="AN37" s="188">
        <v>19.7</v>
      </c>
      <c r="AO37" s="189"/>
      <c r="AP37" s="38"/>
      <c r="AQ37" s="188">
        <v>21.33</v>
      </c>
      <c r="AR37" s="189"/>
      <c r="AS37" s="95"/>
      <c r="AT37" s="190"/>
      <c r="AU37" s="191"/>
      <c r="AV37" s="201">
        <f>COUNTIF(F38:AU38,"в")</f>
        <v>7</v>
      </c>
      <c r="AW37" s="179">
        <f>F38+I38+L38+O38+R38+U38+X38+AA38+AD38+AG38+AJ38+AM38+AP38+AS38</f>
        <v>30</v>
      </c>
      <c r="AX37" s="184" t="s">
        <v>2</v>
      </c>
      <c r="AY37" s="183">
        <f>AU38+AR38+AO38+AL38+AI38+AF38+AC38+Z38+W38+T38+Q38+N38+K38+H38</f>
        <v>25</v>
      </c>
      <c r="AZ37" s="175">
        <f>IF(BL37=0,0,RANK(BL37,$BL$7:$BL$48,0))</f>
        <v>3</v>
      </c>
      <c r="BA37" s="174">
        <f>IF(BL37=0,0,VLOOKUP(AZ37,$BG$7:$BH$48,2,FALSE))</f>
        <v>23</v>
      </c>
      <c r="BB37" s="180">
        <f>A37+BA37</f>
        <v>23</v>
      </c>
      <c r="BC37" s="39">
        <f>AVERAGE(G37,J37,M37,P37,S37,V37,Y37,AB37,AE37,AH37,AK37,AN37,AQ37,AT37)</f>
        <v>20.403333333333332</v>
      </c>
      <c r="BD37" s="172">
        <f>F37+AS37+AP37+AM37+AJ37+AG37+AD37+AA37+X37+U37+R37+O37+L37+I37</f>
        <v>1</v>
      </c>
      <c r="BE37" s="262" t="s">
        <v>68</v>
      </c>
      <c r="BG37" s="236">
        <v>11</v>
      </c>
      <c r="BH37" s="236">
        <v>7</v>
      </c>
      <c r="BJ37" s="22"/>
      <c r="BK37" s="164">
        <f>IF((AV37+AW39*0.001)=0,0,AV37+AW39*0.001+1)</f>
        <v>8.004999999999999</v>
      </c>
      <c r="BL37" s="165">
        <f>BK37+CB37*0.0001</f>
        <v>8.004999999999999</v>
      </c>
      <c r="BM37" s="88"/>
      <c r="BN37" s="89">
        <f>IF(AJ38&gt;AL38,1,0)+(AJ38-AL38)*0.1</f>
        <v>0</v>
      </c>
      <c r="BO37" s="90">
        <f>IF(AM38&gt;AO38,1,0)+(AM38-AO38)*0.1</f>
        <v>1.1</v>
      </c>
      <c r="BP37" s="90">
        <f>IF(AP38&gt;AR38,1,0)+(AP38-AR38)*0.1</f>
        <v>1.1</v>
      </c>
      <c r="BQ37" s="90">
        <f>IF(AS38&gt;AU38,1,0)+(AS38-AU38)*0.1</f>
        <v>0</v>
      </c>
      <c r="BR37" s="90">
        <f>IF(F38&gt;H38,1,0)+(F38-H38)*0.1</f>
        <v>-0.1</v>
      </c>
      <c r="BS37" s="90">
        <f>IF(I38&gt;K38,1,0)+(I38-K38)*0.1</f>
        <v>-0.1</v>
      </c>
      <c r="BT37" s="90">
        <f>IF(L38&gt;N38,1,0)+(L38-N38)*0.1</f>
        <v>1.1</v>
      </c>
      <c r="BU37" s="90">
        <f>IF(O38&gt;Q38,1,0)+(O38-Q38)*0.1</f>
        <v>1.3</v>
      </c>
      <c r="BV37" s="90">
        <f>IF(R38&gt;T38,1,0)+(R38-T38)*0.1</f>
        <v>-0.1</v>
      </c>
      <c r="BW37" s="90">
        <f>IF(U38&gt;W38,1,0)+(U38-W38)*0.1</f>
        <v>-0.1</v>
      </c>
      <c r="BX37" s="90">
        <f>IF(X38&gt;Z38,1,0)+(X38-Z38)*0.1</f>
        <v>1.1</v>
      </c>
      <c r="BY37" s="90">
        <f>IF(AA38&gt;AC38,1,0)+(AA38-AC38)*0.1</f>
        <v>-0.2</v>
      </c>
      <c r="BZ37" s="90">
        <f>IF(AD38&gt;AF38,1,0)+(AD38-AF38)*0.1</f>
        <v>1.1</v>
      </c>
      <c r="CA37" s="90">
        <f>IF(AG38&gt;AI38,1,0)+(AG38-AI38)*0.1</f>
        <v>1.3</v>
      </c>
      <c r="CB37" s="165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34"/>
      <c r="B38" s="85">
        <v>11</v>
      </c>
      <c r="C38" s="168"/>
      <c r="D38" s="168"/>
      <c r="E38" s="169"/>
      <c r="F38" s="42">
        <f>AL8</f>
        <v>2</v>
      </c>
      <c r="G38" s="122">
        <f>IF(F38&gt;H38,"в","")</f>
      </c>
      <c r="H38" s="43">
        <f>AJ8</f>
        <v>3</v>
      </c>
      <c r="I38" s="42">
        <f>AL11</f>
        <v>2</v>
      </c>
      <c r="J38" s="122">
        <f>IF(I38&gt;K38,"в","")</f>
      </c>
      <c r="K38" s="43">
        <f>AJ11</f>
        <v>3</v>
      </c>
      <c r="L38" s="42">
        <f>AL14</f>
        <v>3</v>
      </c>
      <c r="M38" s="120" t="str">
        <f>IF(L38&gt;N38,"в","")</f>
        <v>в</v>
      </c>
      <c r="N38" s="43">
        <f>AJ14</f>
        <v>2</v>
      </c>
      <c r="O38" s="42">
        <f>AL17</f>
        <v>3</v>
      </c>
      <c r="P38" s="120" t="str">
        <f>IF(O38&gt;Q38,"в","")</f>
        <v>в</v>
      </c>
      <c r="Q38" s="43">
        <f>AJ17</f>
        <v>0</v>
      </c>
      <c r="R38" s="42">
        <f>AL20</f>
        <v>2</v>
      </c>
      <c r="S38" s="122">
        <f>IF(R38&gt;T38,"в","")</f>
      </c>
      <c r="T38" s="43">
        <f>AJ20</f>
        <v>3</v>
      </c>
      <c r="U38" s="42">
        <f>AL23</f>
        <v>2</v>
      </c>
      <c r="V38" s="122">
        <f>IF(U38&gt;W38,"в","")</f>
      </c>
      <c r="W38" s="43">
        <f>AJ23</f>
        <v>3</v>
      </c>
      <c r="X38" s="42">
        <f>AL26</f>
        <v>3</v>
      </c>
      <c r="Y38" s="120" t="str">
        <f>IF(X38&gt;Z38,"в","")</f>
        <v>в</v>
      </c>
      <c r="Z38" s="43">
        <f>AJ26</f>
        <v>2</v>
      </c>
      <c r="AA38" s="42">
        <f>AL29</f>
        <v>1</v>
      </c>
      <c r="AB38" s="122">
        <f>IF(AA38&gt;AC38,"в","")</f>
      </c>
      <c r="AC38" s="43">
        <f>AJ29</f>
        <v>3</v>
      </c>
      <c r="AD38" s="42">
        <f>AL32</f>
        <v>3</v>
      </c>
      <c r="AE38" s="120" t="str">
        <f>IF(AD38&gt;AF38,"в","")</f>
        <v>в</v>
      </c>
      <c r="AF38" s="43">
        <f>AJ32</f>
        <v>2</v>
      </c>
      <c r="AG38" s="42">
        <f>AL35</f>
        <v>3</v>
      </c>
      <c r="AH38" s="120" t="str">
        <f>IF(AG38&gt;AI38,"в","")</f>
        <v>в</v>
      </c>
      <c r="AI38" s="43">
        <f>AJ35</f>
        <v>0</v>
      </c>
      <c r="AJ38" s="40"/>
      <c r="AK38" s="28">
        <v>11</v>
      </c>
      <c r="AL38" s="52"/>
      <c r="AM38" s="42">
        <v>3</v>
      </c>
      <c r="AN38" s="120" t="str">
        <f>IF(AM38&gt;AO38,"в","")</f>
        <v>в</v>
      </c>
      <c r="AO38" s="43">
        <v>2</v>
      </c>
      <c r="AP38" s="42">
        <v>3</v>
      </c>
      <c r="AQ38" s="120" t="str">
        <f>IF(AP38&gt;AR38,"в","")</f>
        <v>в</v>
      </c>
      <c r="AR38" s="43">
        <v>2</v>
      </c>
      <c r="AS38" s="98"/>
      <c r="AT38" s="99">
        <f>IF(AS38&gt;AU38,"в","")</f>
      </c>
      <c r="AU38" s="100"/>
      <c r="AV38" s="202"/>
      <c r="AW38" s="179"/>
      <c r="AX38" s="184"/>
      <c r="AY38" s="183"/>
      <c r="AZ38" s="176"/>
      <c r="BA38" s="174"/>
      <c r="BB38" s="180"/>
      <c r="BC38" s="44">
        <f>BC37*3</f>
        <v>61.209999999999994</v>
      </c>
      <c r="BD38" s="173"/>
      <c r="BE38" s="260"/>
      <c r="BG38" s="236"/>
      <c r="BH38" s="236"/>
      <c r="BJ38" s="22"/>
      <c r="BK38" s="164"/>
      <c r="BL38" s="165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65"/>
    </row>
    <row r="39" spans="1:80" ht="18" customHeight="1" thickBot="1" thickTop="1">
      <c r="A39" s="234"/>
      <c r="B39" s="86"/>
      <c r="C39" s="170"/>
      <c r="D39" s="170"/>
      <c r="E39" s="171"/>
      <c r="F39" s="47">
        <v>25</v>
      </c>
      <c r="G39" s="48">
        <v>20</v>
      </c>
      <c r="H39" s="49"/>
      <c r="I39" s="47">
        <v>22</v>
      </c>
      <c r="J39" s="48">
        <v>22</v>
      </c>
      <c r="K39" s="49"/>
      <c r="L39" s="47">
        <v>27</v>
      </c>
      <c r="M39" s="48">
        <v>24</v>
      </c>
      <c r="N39" s="49">
        <v>21</v>
      </c>
      <c r="O39" s="47">
        <v>27</v>
      </c>
      <c r="P39" s="48">
        <v>20</v>
      </c>
      <c r="Q39" s="49">
        <v>19</v>
      </c>
      <c r="R39" s="47">
        <v>24</v>
      </c>
      <c r="S39" s="48">
        <v>22</v>
      </c>
      <c r="T39" s="49"/>
      <c r="U39" s="47">
        <v>27</v>
      </c>
      <c r="V39" s="48">
        <v>23</v>
      </c>
      <c r="W39" s="49"/>
      <c r="X39" s="47">
        <v>24</v>
      </c>
      <c r="Y39" s="48">
        <v>20</v>
      </c>
      <c r="Z39" s="49">
        <v>20</v>
      </c>
      <c r="AA39" s="47">
        <v>22</v>
      </c>
      <c r="AB39" s="48"/>
      <c r="AC39" s="49"/>
      <c r="AD39" s="47">
        <v>21</v>
      </c>
      <c r="AE39" s="48">
        <v>29</v>
      </c>
      <c r="AF39" s="49">
        <v>27</v>
      </c>
      <c r="AG39" s="47">
        <v>22</v>
      </c>
      <c r="AH39" s="48">
        <v>22</v>
      </c>
      <c r="AI39" s="49">
        <v>24</v>
      </c>
      <c r="AJ39" s="45"/>
      <c r="AK39" s="46"/>
      <c r="AL39" s="53"/>
      <c r="AM39" s="47">
        <v>25</v>
      </c>
      <c r="AN39" s="48">
        <v>22</v>
      </c>
      <c r="AO39" s="49">
        <v>27</v>
      </c>
      <c r="AP39" s="47">
        <v>23</v>
      </c>
      <c r="AQ39" s="48">
        <v>22</v>
      </c>
      <c r="AR39" s="49">
        <v>24</v>
      </c>
      <c r="AS39" s="117"/>
      <c r="AT39" s="118"/>
      <c r="AU39" s="119"/>
      <c r="AV39" s="203"/>
      <c r="AW39" s="178">
        <f>AW37-AY37</f>
        <v>5</v>
      </c>
      <c r="AX39" s="178"/>
      <c r="AY39" s="178"/>
      <c r="AZ39" s="177"/>
      <c r="BA39" s="174"/>
      <c r="BB39" s="180"/>
      <c r="BC39" s="50">
        <f>AVERAGE(F39:AU39)</f>
        <v>23.233333333333334</v>
      </c>
      <c r="BD39" s="173"/>
      <c r="BE39" s="261"/>
      <c r="BG39" s="236"/>
      <c r="BH39" s="236"/>
      <c r="BJ39" s="22"/>
      <c r="BK39" s="164"/>
      <c r="BL39" s="165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65"/>
    </row>
    <row r="40" spans="1:80" ht="18" customHeight="1" thickBot="1" thickTop="1">
      <c r="A40" s="234">
        <v>0</v>
      </c>
      <c r="B40" s="84"/>
      <c r="C40" s="166" t="str">
        <f>VLOOKUP(B41,Исходник!$F$3:Исходник!$AY$44,46,FALSE)</f>
        <v>Акутов Александр
СФДМ, Москва</v>
      </c>
      <c r="D40" s="166"/>
      <c r="E40" s="167"/>
      <c r="F40" s="38">
        <v>1</v>
      </c>
      <c r="G40" s="188">
        <v>18.8</v>
      </c>
      <c r="H40" s="189"/>
      <c r="I40" s="38"/>
      <c r="J40" s="188">
        <v>19.79</v>
      </c>
      <c r="K40" s="189"/>
      <c r="L40" s="38"/>
      <c r="M40" s="188">
        <v>18.79</v>
      </c>
      <c r="N40" s="189"/>
      <c r="O40" s="38"/>
      <c r="P40" s="188">
        <v>18.55</v>
      </c>
      <c r="Q40" s="189"/>
      <c r="R40" s="51"/>
      <c r="S40" s="188">
        <v>22</v>
      </c>
      <c r="T40" s="189"/>
      <c r="U40" s="38"/>
      <c r="V40" s="188">
        <v>19.61</v>
      </c>
      <c r="W40" s="189"/>
      <c r="X40" s="38">
        <v>1</v>
      </c>
      <c r="Y40" s="188">
        <v>22.83</v>
      </c>
      <c r="Z40" s="189"/>
      <c r="AA40" s="38"/>
      <c r="AB40" s="188">
        <v>19.8</v>
      </c>
      <c r="AC40" s="189"/>
      <c r="AD40" s="38"/>
      <c r="AE40" s="188">
        <v>19.57</v>
      </c>
      <c r="AF40" s="189"/>
      <c r="AG40" s="38"/>
      <c r="AH40" s="188">
        <v>19</v>
      </c>
      <c r="AI40" s="189"/>
      <c r="AJ40" s="38"/>
      <c r="AK40" s="188">
        <v>20.49</v>
      </c>
      <c r="AL40" s="189"/>
      <c r="AM40" s="26"/>
      <c r="AN40" s="211"/>
      <c r="AO40" s="212"/>
      <c r="AP40" s="38"/>
      <c r="AQ40" s="188">
        <v>20.46</v>
      </c>
      <c r="AR40" s="189"/>
      <c r="AS40" s="95"/>
      <c r="AT40" s="190"/>
      <c r="AU40" s="191"/>
      <c r="AV40" s="201">
        <f>COUNTIF(F41:AU41,"в")</f>
        <v>5</v>
      </c>
      <c r="AW40" s="179">
        <f>F41+I41+L41+O41+R41+U41+X41+AA41+AD41+AG41+AJ41+AM41+AP41+AS41</f>
        <v>23</v>
      </c>
      <c r="AX40" s="184" t="s">
        <v>2</v>
      </c>
      <c r="AY40" s="183">
        <f>AU41+AR41+AO41+AL41+AI41+AF41+AC41+Z41+W41+T41+Q41+N41+K41+H41</f>
        <v>25</v>
      </c>
      <c r="AZ40" s="175">
        <f>IF(BL40=0,0,RANK(BL40,$BL$7:$BL$48,0))</f>
        <v>10</v>
      </c>
      <c r="BA40" s="174">
        <f>IF(BL40=0,0,VLOOKUP(AZ40,$BG$7:$BH$48,2,FALSE))</f>
        <v>8</v>
      </c>
      <c r="BB40" s="180">
        <f>A40+BA40</f>
        <v>8</v>
      </c>
      <c r="BC40" s="39">
        <f>AVERAGE(G40,J40,M40,P40,S40,V40,Y40,AB40,AE40,AH40,AK40,AN40,AQ40,AT40)</f>
        <v>19.97416666666667</v>
      </c>
      <c r="BD40" s="172">
        <f>F40+AS40+AP40+AM40+AJ40+AG40+AD40+AA40+X40+U40+R40+O40+L40+I40</f>
        <v>2</v>
      </c>
      <c r="BE40" s="259">
        <v>110</v>
      </c>
      <c r="BG40" s="236">
        <v>12</v>
      </c>
      <c r="BH40" s="236">
        <v>6</v>
      </c>
      <c r="BJ40" s="22"/>
      <c r="BK40" s="164">
        <f>IF((AV40+AW42*0.001)=0,0,AV40+AW42*0.001+1)</f>
        <v>5.998</v>
      </c>
      <c r="BL40" s="165">
        <f>BK40+CB40*0.0001</f>
        <v>5.998</v>
      </c>
      <c r="BM40" s="88"/>
      <c r="BN40" s="89">
        <f>IF(AM41&gt;AO41,1,0)+(AM41-AO41)*0.1</f>
        <v>0</v>
      </c>
      <c r="BO40" s="90">
        <f>IF(AP41&gt;AR41,1,0)+(AP41-AR41)*0.1</f>
        <v>1.1</v>
      </c>
      <c r="BP40" s="90">
        <f>IF(AS41&gt;AU41,1,0)+(AS41-AU41)*0.1</f>
        <v>0</v>
      </c>
      <c r="BQ40" s="90">
        <f>IF(F41&gt;H41,1,0)+(F41-H41)*0.1</f>
        <v>1.2</v>
      </c>
      <c r="BR40" s="90">
        <f>IF(I41&gt;K41,1,0)+(I41-K41)*0.1</f>
        <v>-0.2</v>
      </c>
      <c r="BS40" s="90">
        <f>IF(L41&gt;N41,1,0)+(L41-N41)*0.1</f>
        <v>1.3</v>
      </c>
      <c r="BT40" s="90">
        <f>IF(O41&gt;Q41,1,0)+(O41-Q41)*0.1</f>
        <v>-0.30000000000000004</v>
      </c>
      <c r="BU40" s="90">
        <f>IF(R41&gt;T41,1,0)+(R41-T41)*0.1</f>
        <v>-0.30000000000000004</v>
      </c>
      <c r="BV40" s="90">
        <f>IF(U41&gt;W41,1,0)+(U41-W41)*0.1</f>
        <v>-0.1</v>
      </c>
      <c r="BW40" s="90">
        <f>IF(X41&gt;Z41,1,0)+(X41-Z41)*0.1</f>
        <v>-0.1</v>
      </c>
      <c r="BX40" s="90">
        <f>IF(AA41&gt;AC41,1,0)+(AA41-AC41)*0.1</f>
        <v>1.2</v>
      </c>
      <c r="BY40" s="90">
        <f>IF(AD41&gt;AF41,1,0)+(AD41-AF41)*0.1</f>
        <v>1.3</v>
      </c>
      <c r="BZ40" s="90">
        <f>IF(AG41&gt;AI41,1,0)+(AG41-AI41)*0.1</f>
        <v>-0.2</v>
      </c>
      <c r="CA40" s="90">
        <f>IF(AJ41&gt;AL41,1,0)+(AJ41-AL41)*0.1</f>
        <v>-0.1</v>
      </c>
      <c r="CB40" s="165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34"/>
      <c r="B41" s="85">
        <v>12</v>
      </c>
      <c r="C41" s="168"/>
      <c r="D41" s="168"/>
      <c r="E41" s="169"/>
      <c r="F41" s="42">
        <f>AO8</f>
        <v>3</v>
      </c>
      <c r="G41" s="120" t="str">
        <f>IF(F41&gt;H41,"в","")</f>
        <v>в</v>
      </c>
      <c r="H41" s="43">
        <f>AM8</f>
        <v>1</v>
      </c>
      <c r="I41" s="42">
        <f>AO11</f>
        <v>1</v>
      </c>
      <c r="J41" s="122">
        <f>IF(I41&gt;K41,"в","")</f>
      </c>
      <c r="K41" s="43">
        <f>AM11</f>
        <v>3</v>
      </c>
      <c r="L41" s="42">
        <f>AO14</f>
        <v>3</v>
      </c>
      <c r="M41" s="120" t="str">
        <f>IF(L41&gt;N41,"в","")</f>
        <v>в</v>
      </c>
      <c r="N41" s="43">
        <f>AM14</f>
        <v>0</v>
      </c>
      <c r="O41" s="42">
        <f>AO17</f>
        <v>0</v>
      </c>
      <c r="P41" s="122">
        <f>IF(O41&gt;Q41,"в","")</f>
      </c>
      <c r="Q41" s="43">
        <f>AM17</f>
        <v>3</v>
      </c>
      <c r="R41" s="42">
        <f>AO20</f>
        <v>0</v>
      </c>
      <c r="S41" s="122">
        <f>IF(R41&gt;T41,"в","")</f>
      </c>
      <c r="T41" s="43">
        <f>AM20</f>
        <v>3</v>
      </c>
      <c r="U41" s="42">
        <f>AO23</f>
        <v>2</v>
      </c>
      <c r="V41" s="122">
        <f>IF(U41&gt;W41,"в","")</f>
      </c>
      <c r="W41" s="43">
        <f>AM23</f>
        <v>3</v>
      </c>
      <c r="X41" s="42">
        <f>AO26</f>
        <v>2</v>
      </c>
      <c r="Y41" s="122">
        <f>IF(X41&gt;Z41,"в","")</f>
      </c>
      <c r="Z41" s="43">
        <f>AM26</f>
        <v>3</v>
      </c>
      <c r="AA41" s="42">
        <f>AO29</f>
        <v>3</v>
      </c>
      <c r="AB41" s="120" t="str">
        <f>IF(AA41&gt;AC41,"в","")</f>
        <v>в</v>
      </c>
      <c r="AC41" s="43">
        <f>AM29</f>
        <v>1</v>
      </c>
      <c r="AD41" s="42">
        <f>AO32</f>
        <v>3</v>
      </c>
      <c r="AE41" s="120" t="str">
        <f>IF(AD41&gt;AF41,"в","")</f>
        <v>в</v>
      </c>
      <c r="AF41" s="43">
        <f>AM32</f>
        <v>0</v>
      </c>
      <c r="AG41" s="42">
        <f>AO35</f>
        <v>1</v>
      </c>
      <c r="AH41" s="122">
        <f>IF(AG41&gt;AI41,"в","")</f>
      </c>
      <c r="AI41" s="43">
        <f>AM35</f>
        <v>3</v>
      </c>
      <c r="AJ41" s="42">
        <f>AO38</f>
        <v>2</v>
      </c>
      <c r="AK41" s="122">
        <f>IF(AJ41&gt;AL41,"в","")</f>
      </c>
      <c r="AL41" s="43">
        <f>AM38</f>
        <v>3</v>
      </c>
      <c r="AM41" s="40"/>
      <c r="AN41" s="28">
        <v>12</v>
      </c>
      <c r="AO41" s="52"/>
      <c r="AP41" s="42">
        <v>3</v>
      </c>
      <c r="AQ41" s="120" t="str">
        <f>IF(AP41&gt;AR41,"в","")</f>
        <v>в</v>
      </c>
      <c r="AR41" s="43">
        <v>2</v>
      </c>
      <c r="AS41" s="98"/>
      <c r="AT41" s="99">
        <f>IF(AS41&gt;AU41,"в","")</f>
      </c>
      <c r="AU41" s="100"/>
      <c r="AV41" s="202"/>
      <c r="AW41" s="179"/>
      <c r="AX41" s="184"/>
      <c r="AY41" s="183"/>
      <c r="AZ41" s="176"/>
      <c r="BA41" s="174"/>
      <c r="BB41" s="180"/>
      <c r="BC41" s="44">
        <f>BC40*3</f>
        <v>59.92250000000001</v>
      </c>
      <c r="BD41" s="173"/>
      <c r="BE41" s="260"/>
      <c r="BG41" s="236"/>
      <c r="BH41" s="236"/>
      <c r="BJ41" s="22"/>
      <c r="BK41" s="164"/>
      <c r="BL41" s="165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65"/>
    </row>
    <row r="42" spans="1:80" ht="18" customHeight="1" thickBot="1" thickTop="1">
      <c r="A42" s="234"/>
      <c r="B42" s="86"/>
      <c r="C42" s="170"/>
      <c r="D42" s="170"/>
      <c r="E42" s="171"/>
      <c r="F42" s="47">
        <v>22</v>
      </c>
      <c r="G42" s="48">
        <v>35</v>
      </c>
      <c r="H42" s="49">
        <v>23</v>
      </c>
      <c r="I42" s="47">
        <v>21</v>
      </c>
      <c r="J42" s="48"/>
      <c r="K42" s="49"/>
      <c r="L42" s="47">
        <v>28</v>
      </c>
      <c r="M42" s="48">
        <v>27</v>
      </c>
      <c r="N42" s="49">
        <v>25</v>
      </c>
      <c r="O42" s="47"/>
      <c r="P42" s="48"/>
      <c r="Q42" s="49"/>
      <c r="R42" s="47"/>
      <c r="S42" s="48"/>
      <c r="T42" s="49"/>
      <c r="U42" s="47">
        <v>22</v>
      </c>
      <c r="V42" s="48">
        <v>14</v>
      </c>
      <c r="W42" s="49"/>
      <c r="X42" s="47">
        <v>20</v>
      </c>
      <c r="Y42" s="48">
        <v>21</v>
      </c>
      <c r="Z42" s="49"/>
      <c r="AA42" s="47">
        <v>22</v>
      </c>
      <c r="AB42" s="48">
        <v>27</v>
      </c>
      <c r="AC42" s="49">
        <v>21</v>
      </c>
      <c r="AD42" s="47">
        <v>28</v>
      </c>
      <c r="AE42" s="48">
        <v>24</v>
      </c>
      <c r="AF42" s="49">
        <v>24</v>
      </c>
      <c r="AG42" s="47">
        <v>13</v>
      </c>
      <c r="AH42" s="48"/>
      <c r="AI42" s="49"/>
      <c r="AJ42" s="47">
        <v>19</v>
      </c>
      <c r="AK42" s="48">
        <v>21</v>
      </c>
      <c r="AL42" s="49"/>
      <c r="AM42" s="45"/>
      <c r="AN42" s="46"/>
      <c r="AO42" s="53"/>
      <c r="AP42" s="47">
        <v>25</v>
      </c>
      <c r="AQ42" s="48">
        <v>25</v>
      </c>
      <c r="AR42" s="49">
        <v>22</v>
      </c>
      <c r="AS42" s="117"/>
      <c r="AT42" s="118"/>
      <c r="AU42" s="119"/>
      <c r="AV42" s="203"/>
      <c r="AW42" s="178">
        <f>AW40-AY40</f>
        <v>-2</v>
      </c>
      <c r="AX42" s="178"/>
      <c r="AY42" s="178"/>
      <c r="AZ42" s="177"/>
      <c r="BA42" s="174"/>
      <c r="BB42" s="180"/>
      <c r="BC42" s="50">
        <f>AVERAGE(F42:AU42)</f>
        <v>23</v>
      </c>
      <c r="BD42" s="173"/>
      <c r="BE42" s="261"/>
      <c r="BG42" s="236"/>
      <c r="BH42" s="236"/>
      <c r="BJ42" s="22"/>
      <c r="BK42" s="164"/>
      <c r="BL42" s="165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65"/>
    </row>
    <row r="43" spans="1:80" ht="18" customHeight="1" thickBot="1" thickTop="1">
      <c r="A43" s="234">
        <v>0</v>
      </c>
      <c r="B43" s="84"/>
      <c r="C43" s="166" t="str">
        <f>VLOOKUP(B44,Исходник!$F$3:Исходник!$AY$44,46,FALSE)</f>
        <v>Борисов Андрей
СФДМ, Москва</v>
      </c>
      <c r="D43" s="166"/>
      <c r="E43" s="167"/>
      <c r="F43" s="38"/>
      <c r="G43" s="188">
        <v>19.33</v>
      </c>
      <c r="H43" s="189"/>
      <c r="I43" s="38"/>
      <c r="J43" s="188">
        <v>22.69</v>
      </c>
      <c r="K43" s="189"/>
      <c r="L43" s="51"/>
      <c r="M43" s="188">
        <v>16.41</v>
      </c>
      <c r="N43" s="189"/>
      <c r="O43" s="38"/>
      <c r="P43" s="188">
        <v>18.56</v>
      </c>
      <c r="Q43" s="189"/>
      <c r="R43" s="38"/>
      <c r="S43" s="188">
        <v>20.87</v>
      </c>
      <c r="T43" s="189"/>
      <c r="U43" s="38"/>
      <c r="V43" s="188">
        <v>21.14</v>
      </c>
      <c r="W43" s="189"/>
      <c r="X43" s="38"/>
      <c r="Y43" s="188">
        <v>18.27</v>
      </c>
      <c r="Z43" s="189"/>
      <c r="AA43" s="38">
        <v>1</v>
      </c>
      <c r="AB43" s="188">
        <v>21.03</v>
      </c>
      <c r="AC43" s="189"/>
      <c r="AD43" s="38">
        <v>1</v>
      </c>
      <c r="AE43" s="188">
        <v>19.66</v>
      </c>
      <c r="AF43" s="189"/>
      <c r="AG43" s="38"/>
      <c r="AH43" s="188">
        <v>19.33</v>
      </c>
      <c r="AI43" s="189"/>
      <c r="AJ43" s="38"/>
      <c r="AK43" s="188">
        <v>19.58</v>
      </c>
      <c r="AL43" s="189"/>
      <c r="AM43" s="38"/>
      <c r="AN43" s="188">
        <v>19.69</v>
      </c>
      <c r="AO43" s="189"/>
      <c r="AP43" s="26"/>
      <c r="AQ43" s="211"/>
      <c r="AR43" s="212"/>
      <c r="AS43" s="95"/>
      <c r="AT43" s="190"/>
      <c r="AU43" s="191"/>
      <c r="AV43" s="201">
        <f>COUNTIF(F44:AU44,"в")</f>
        <v>6</v>
      </c>
      <c r="AW43" s="179">
        <f>F44+I44+L44+O44+R44+U44+X44+AA44+AD44+AG44+AJ44+AM44+AP44+AS44</f>
        <v>28</v>
      </c>
      <c r="AX43" s="184" t="s">
        <v>2</v>
      </c>
      <c r="AY43" s="183">
        <f>AU44+AR44+AO44+AL44+AI44+AF44+AC44+Z44+W44+T44+Q44+N44+K44+H44</f>
        <v>27</v>
      </c>
      <c r="AZ43" s="175">
        <f>IF(BL43=0,0,RANK(BL43,$BL$7:$BL$48,0))</f>
        <v>8</v>
      </c>
      <c r="BA43" s="174">
        <f>IF(BL43=0,0,VLOOKUP(AZ43,$BG$7:$BH$48,2,FALSE))</f>
        <v>12</v>
      </c>
      <c r="BB43" s="180">
        <f>A43+BA43</f>
        <v>12</v>
      </c>
      <c r="BC43" s="39">
        <f>AVERAGE(G43,J43,M43,P43,S43,V43,Y43,AB43,AE43,AH43,AK43,AN43,AQ43,AT43)</f>
        <v>19.713333333333335</v>
      </c>
      <c r="BD43" s="172">
        <f>F43+AS43+AP43+AM43+AJ43+AG43+AD43+AA43+X43+U43+R43+O43+L43+I43</f>
        <v>2</v>
      </c>
      <c r="BE43" s="259"/>
      <c r="BG43" s="236">
        <v>13</v>
      </c>
      <c r="BH43" s="236">
        <v>5</v>
      </c>
      <c r="BJ43" s="22"/>
      <c r="BK43" s="164">
        <f>IF((AV43+AW45*0.001)=0,0,AV43+AW45*0.001+1)</f>
        <v>7.001</v>
      </c>
      <c r="BL43" s="165">
        <f>BK43+CB43*0.0001</f>
        <v>7.001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-0.1</v>
      </c>
      <c r="BQ43" s="90">
        <f>IF(I44&gt;K44,1,0)+(I44-K44)*0.1</f>
        <v>1.2</v>
      </c>
      <c r="BR43" s="90">
        <f>IF(L44&gt;N44,1,0)+(L44-N44)*0.1</f>
        <v>1.1</v>
      </c>
      <c r="BS43" s="90">
        <f>IF(O44&gt;Q44,1,0)+(O44-Q44)*0.1</f>
        <v>1.1</v>
      </c>
      <c r="BT43" s="90">
        <f>IF(R44&gt;T44,1,0)+(R44-T44)*0.1</f>
        <v>1.3</v>
      </c>
      <c r="BU43" s="90">
        <f>IF(U44&gt;W44,1,0)+(U44-W44)*0.1</f>
        <v>-0.2</v>
      </c>
      <c r="BV43" s="90">
        <f>IF(X44&gt;Z44,1,0)+(X44-Z44)*0.1</f>
        <v>-0.2</v>
      </c>
      <c r="BW43" s="90">
        <f>IF(AA44&gt;AC44,1,0)+(AA44-AC44)*0.1</f>
        <v>1.1</v>
      </c>
      <c r="BX43" s="90">
        <f>IF(AD44&gt;AF44,1,0)+(AD44-AF44)*0.1</f>
        <v>-0.1</v>
      </c>
      <c r="BY43" s="90">
        <f>IF(AG44&gt;AI44,1,0)+(AG44-AI44)*0.1</f>
        <v>1.1</v>
      </c>
      <c r="BZ43" s="90">
        <f>IF(AJ44&gt;AL44,1,0)+(AJ44-AL44)*0.1</f>
        <v>-0.1</v>
      </c>
      <c r="CA43" s="90">
        <f>IF(AM44&gt;AO44,1,0)+(AM44-AO44)*0.1</f>
        <v>-0.1</v>
      </c>
      <c r="CB43" s="165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34"/>
      <c r="B44" s="85">
        <v>13</v>
      </c>
      <c r="C44" s="168"/>
      <c r="D44" s="168"/>
      <c r="E44" s="169"/>
      <c r="F44" s="42">
        <f>AR8</f>
        <v>2</v>
      </c>
      <c r="G44" s="122">
        <f>IF(F44&gt;H44,"в","")</f>
      </c>
      <c r="H44" s="43">
        <f>AP8</f>
        <v>3</v>
      </c>
      <c r="I44" s="42">
        <f>AR11</f>
        <v>3</v>
      </c>
      <c r="J44" s="120" t="str">
        <f>IF(I44&gt;K44,"в","")</f>
        <v>в</v>
      </c>
      <c r="K44" s="43">
        <f>AP11</f>
        <v>1</v>
      </c>
      <c r="L44" s="42">
        <f>AR14</f>
        <v>3</v>
      </c>
      <c r="M44" s="120" t="str">
        <f>IF(L44&gt;N44,"в","")</f>
        <v>в</v>
      </c>
      <c r="N44" s="43">
        <f>AP14</f>
        <v>2</v>
      </c>
      <c r="O44" s="42">
        <f>AR17</f>
        <v>3</v>
      </c>
      <c r="P44" s="120" t="str">
        <f>IF(O44&gt;Q44,"в","")</f>
        <v>в</v>
      </c>
      <c r="Q44" s="43">
        <f>AP17</f>
        <v>2</v>
      </c>
      <c r="R44" s="42">
        <f>AR20</f>
        <v>3</v>
      </c>
      <c r="S44" s="120" t="str">
        <f>IF(R44&gt;T44,"в","")</f>
        <v>в</v>
      </c>
      <c r="T44" s="43">
        <f>AP20</f>
        <v>0</v>
      </c>
      <c r="U44" s="42">
        <f>AR23</f>
        <v>1</v>
      </c>
      <c r="V44" s="122">
        <f>IF(U44&gt;W44,"в","")</f>
      </c>
      <c r="W44" s="43">
        <f>AP23</f>
        <v>3</v>
      </c>
      <c r="X44" s="42">
        <f>AR26</f>
        <v>1</v>
      </c>
      <c r="Y44" s="122">
        <f>IF(X44&gt;Z44,"в","")</f>
      </c>
      <c r="Z44" s="43">
        <f>AP26</f>
        <v>3</v>
      </c>
      <c r="AA44" s="42">
        <f>AR29</f>
        <v>3</v>
      </c>
      <c r="AB44" s="120" t="str">
        <f>IF(AA44&gt;AC44,"в","")</f>
        <v>в</v>
      </c>
      <c r="AC44" s="43">
        <f>AP29</f>
        <v>2</v>
      </c>
      <c r="AD44" s="42">
        <f>AR32</f>
        <v>2</v>
      </c>
      <c r="AE44" s="122">
        <f>IF(AD44&gt;AF44,"в","")</f>
      </c>
      <c r="AF44" s="43">
        <f>AP32</f>
        <v>3</v>
      </c>
      <c r="AG44" s="42">
        <f>AR35</f>
        <v>3</v>
      </c>
      <c r="AH44" s="120" t="str">
        <f>IF(AG44&gt;AI44,"в","")</f>
        <v>в</v>
      </c>
      <c r="AI44" s="43">
        <f>AP35</f>
        <v>2</v>
      </c>
      <c r="AJ44" s="42">
        <f>AR38</f>
        <v>2</v>
      </c>
      <c r="AK44" s="122">
        <f>IF(AJ44&gt;AL44,"в","")</f>
      </c>
      <c r="AL44" s="43">
        <f>AP38</f>
        <v>3</v>
      </c>
      <c r="AM44" s="42">
        <f>AR41</f>
        <v>2</v>
      </c>
      <c r="AN44" s="122">
        <f>IF(AM44&gt;AO44,"в","")</f>
      </c>
      <c r="AO44" s="43">
        <f>AP41</f>
        <v>3</v>
      </c>
      <c r="AP44" s="40"/>
      <c r="AQ44" s="28">
        <v>13</v>
      </c>
      <c r="AR44" s="52"/>
      <c r="AS44" s="98"/>
      <c r="AT44" s="99">
        <f>IF(AS44&gt;AU44,"в","")</f>
      </c>
      <c r="AU44" s="100"/>
      <c r="AV44" s="202"/>
      <c r="AW44" s="179"/>
      <c r="AX44" s="184"/>
      <c r="AY44" s="183"/>
      <c r="AZ44" s="176"/>
      <c r="BA44" s="174"/>
      <c r="BB44" s="180"/>
      <c r="BC44" s="44">
        <f>BC43*3</f>
        <v>59.14</v>
      </c>
      <c r="BD44" s="173"/>
      <c r="BE44" s="260"/>
      <c r="BG44" s="236"/>
      <c r="BH44" s="236"/>
      <c r="BJ44" s="22"/>
      <c r="BK44" s="164"/>
      <c r="BL44" s="165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65"/>
    </row>
    <row r="45" spans="1:80" ht="18" customHeight="1" thickBot="1" thickTop="1">
      <c r="A45" s="234"/>
      <c r="B45" s="86"/>
      <c r="C45" s="170"/>
      <c r="D45" s="170"/>
      <c r="E45" s="171"/>
      <c r="F45" s="47">
        <v>22</v>
      </c>
      <c r="G45" s="48">
        <v>24</v>
      </c>
      <c r="H45" s="49"/>
      <c r="I45" s="47">
        <v>20</v>
      </c>
      <c r="J45" s="48">
        <v>21</v>
      </c>
      <c r="K45" s="49">
        <v>27</v>
      </c>
      <c r="L45" s="47">
        <v>26</v>
      </c>
      <c r="M45" s="48">
        <v>30</v>
      </c>
      <c r="N45" s="49">
        <v>32</v>
      </c>
      <c r="O45" s="47">
        <v>20</v>
      </c>
      <c r="P45" s="48">
        <v>25</v>
      </c>
      <c r="Q45" s="49">
        <v>30</v>
      </c>
      <c r="R45" s="47">
        <v>26</v>
      </c>
      <c r="S45" s="48">
        <v>20</v>
      </c>
      <c r="T45" s="49">
        <v>26</v>
      </c>
      <c r="U45" s="47">
        <v>19</v>
      </c>
      <c r="V45" s="48"/>
      <c r="W45" s="49"/>
      <c r="X45" s="47">
        <v>27</v>
      </c>
      <c r="Y45" s="48"/>
      <c r="Z45" s="49"/>
      <c r="AA45" s="47">
        <v>29</v>
      </c>
      <c r="AB45" s="48">
        <v>15</v>
      </c>
      <c r="AC45" s="49">
        <v>22</v>
      </c>
      <c r="AD45" s="47">
        <v>23</v>
      </c>
      <c r="AE45" s="48">
        <v>17</v>
      </c>
      <c r="AF45" s="49"/>
      <c r="AG45" s="47">
        <v>22</v>
      </c>
      <c r="AH45" s="48">
        <v>20</v>
      </c>
      <c r="AI45" s="49">
        <v>27</v>
      </c>
      <c r="AJ45" s="47">
        <v>22</v>
      </c>
      <c r="AK45" s="48">
        <v>22</v>
      </c>
      <c r="AL45" s="49"/>
      <c r="AM45" s="47">
        <v>18</v>
      </c>
      <c r="AN45" s="48">
        <v>25</v>
      </c>
      <c r="AO45" s="49"/>
      <c r="AP45" s="45"/>
      <c r="AQ45" s="46"/>
      <c r="AR45" s="53"/>
      <c r="AS45" s="117"/>
      <c r="AT45" s="118"/>
      <c r="AU45" s="119"/>
      <c r="AV45" s="203"/>
      <c r="AW45" s="178">
        <f>AW43-AY43</f>
        <v>1</v>
      </c>
      <c r="AX45" s="178"/>
      <c r="AY45" s="178"/>
      <c r="AZ45" s="177"/>
      <c r="BA45" s="174"/>
      <c r="BB45" s="180"/>
      <c r="BC45" s="50">
        <f>AVERAGE(F45:AU45)</f>
        <v>23.464285714285715</v>
      </c>
      <c r="BD45" s="173"/>
      <c r="BE45" s="261"/>
      <c r="BG45" s="236"/>
      <c r="BH45" s="236"/>
      <c r="BJ45" s="22"/>
      <c r="BK45" s="164"/>
      <c r="BL45" s="165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65"/>
    </row>
    <row r="46" spans="1:80" ht="18" customHeight="1" thickBot="1" thickTop="1">
      <c r="A46" s="235">
        <v>0</v>
      </c>
      <c r="B46" s="94"/>
      <c r="C46" s="213" t="str">
        <f>VLOOKUP(B47,Исходник!$F$3:Исходник!$AY$44,46,FALSE)</f>
        <v>Ломов Аликус                      СФДМ, Москва</v>
      </c>
      <c r="D46" s="213"/>
      <c r="E46" s="214"/>
      <c r="F46" s="95"/>
      <c r="G46" s="190"/>
      <c r="H46" s="191"/>
      <c r="I46" s="95"/>
      <c r="J46" s="190"/>
      <c r="K46" s="191"/>
      <c r="L46" s="95"/>
      <c r="M46" s="190"/>
      <c r="N46" s="191"/>
      <c r="O46" s="95"/>
      <c r="P46" s="190"/>
      <c r="Q46" s="191"/>
      <c r="R46" s="95"/>
      <c r="S46" s="190"/>
      <c r="T46" s="191"/>
      <c r="U46" s="95"/>
      <c r="V46" s="190"/>
      <c r="W46" s="191"/>
      <c r="X46" s="95"/>
      <c r="Y46" s="190"/>
      <c r="Z46" s="191"/>
      <c r="AA46" s="95"/>
      <c r="AB46" s="190"/>
      <c r="AC46" s="191"/>
      <c r="AD46" s="95"/>
      <c r="AE46" s="190"/>
      <c r="AF46" s="191"/>
      <c r="AG46" s="95"/>
      <c r="AH46" s="190"/>
      <c r="AI46" s="191"/>
      <c r="AJ46" s="95"/>
      <c r="AK46" s="190"/>
      <c r="AL46" s="191"/>
      <c r="AM46" s="95"/>
      <c r="AN46" s="190"/>
      <c r="AO46" s="191"/>
      <c r="AP46" s="95"/>
      <c r="AQ46" s="190"/>
      <c r="AR46" s="191"/>
      <c r="AS46" s="96"/>
      <c r="AT46" s="230"/>
      <c r="AU46" s="231"/>
      <c r="AV46" s="201">
        <f>COUNTIF(F47:AU47,"в")</f>
        <v>0</v>
      </c>
      <c r="AW46" s="179">
        <f>F47+I47+L47+O47+R47+U47+X47+AA47+AD47+AG47+AJ47+AM47+AP47+AS47</f>
        <v>0</v>
      </c>
      <c r="AX46" s="184" t="s">
        <v>2</v>
      </c>
      <c r="AY46" s="183">
        <f>AU47+AR47+AO47+AL47+AI47+AF47+AC47+Z47+W47+T47+Q47+N47+K47+H47</f>
        <v>0</v>
      </c>
      <c r="AZ46" s="175">
        <f>IF(BL46=0,0,RANK(BL46,$BL$7:$BL$48,0))</f>
        <v>0</v>
      </c>
      <c r="BA46" s="174">
        <f>IF(BL46=0,0,VLOOKUP(AZ46,$BG$7:$BH$48,2,FALSE))</f>
        <v>0</v>
      </c>
      <c r="BB46" s="180">
        <f>A46+BA46</f>
        <v>0</v>
      </c>
      <c r="BC46" s="39" t="e">
        <f>AVERAGE(G46,J46,M46,P46,S46,V46,Y46,AB46,AE46,AH46,AK46,AN46,AQ46,AT46)</f>
        <v>#DIV/0!</v>
      </c>
      <c r="BD46" s="172">
        <f>F46+AS46+AP46+AM46+AJ46+AG46+AD46+AA46+X46+U46+R46+O46+L46+I46</f>
        <v>0</v>
      </c>
      <c r="BE46" s="259"/>
      <c r="BG46" s="236">
        <v>14</v>
      </c>
      <c r="BH46" s="236">
        <v>4</v>
      </c>
      <c r="BJ46" s="22"/>
      <c r="BK46" s="164">
        <f>IF((AV46+AW48*0.001)=0,0,AV46+AW48*0.001+1)</f>
        <v>0</v>
      </c>
      <c r="BL46" s="165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65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35"/>
      <c r="B47" s="97">
        <v>14</v>
      </c>
      <c r="C47" s="215"/>
      <c r="D47" s="215"/>
      <c r="E47" s="216"/>
      <c r="F47" s="98">
        <f>AU8</f>
        <v>0</v>
      </c>
      <c r="G47" s="99">
        <f>IF(F47&gt;H47,"в","")</f>
      </c>
      <c r="H47" s="100">
        <f>AS8</f>
        <v>0</v>
      </c>
      <c r="I47" s="98">
        <f>AU11</f>
        <v>0</v>
      </c>
      <c r="J47" s="99">
        <f>IF(I47&gt;K47,"в","")</f>
      </c>
      <c r="K47" s="100">
        <f>AS11</f>
        <v>0</v>
      </c>
      <c r="L47" s="98">
        <f>AU14</f>
        <v>0</v>
      </c>
      <c r="M47" s="99">
        <f>IF(L47&gt;N47,"в","")</f>
      </c>
      <c r="N47" s="100">
        <f>AS14</f>
        <v>0</v>
      </c>
      <c r="O47" s="98">
        <f>AU17</f>
        <v>0</v>
      </c>
      <c r="P47" s="99">
        <f>IF(O47&gt;Q47,"в","")</f>
      </c>
      <c r="Q47" s="100">
        <f>AS17</f>
        <v>0</v>
      </c>
      <c r="R47" s="98">
        <f>AU20</f>
        <v>0</v>
      </c>
      <c r="S47" s="99">
        <f>IF(R47&gt;T47,"в","")</f>
      </c>
      <c r="T47" s="100">
        <f>AS20</f>
        <v>0</v>
      </c>
      <c r="U47" s="98">
        <f>AU23</f>
        <v>0</v>
      </c>
      <c r="V47" s="99">
        <f>IF(U47&gt;W47,"в","")</f>
      </c>
      <c r="W47" s="100">
        <f>AS23</f>
        <v>0</v>
      </c>
      <c r="X47" s="98">
        <f>AU26</f>
        <v>0</v>
      </c>
      <c r="Y47" s="99">
        <f>IF(X47&gt;Z47,"в","")</f>
      </c>
      <c r="Z47" s="100">
        <f>AS26</f>
        <v>0</v>
      </c>
      <c r="AA47" s="98">
        <f>AU29</f>
        <v>0</v>
      </c>
      <c r="AB47" s="99">
        <f>IF(AA47&gt;AC47,"в","")</f>
      </c>
      <c r="AC47" s="100">
        <f>AS29</f>
        <v>0</v>
      </c>
      <c r="AD47" s="98">
        <f>AU32</f>
        <v>0</v>
      </c>
      <c r="AE47" s="99">
        <f>IF(AD47&gt;AF47,"в","")</f>
      </c>
      <c r="AF47" s="100">
        <f>AS32</f>
        <v>0</v>
      </c>
      <c r="AG47" s="98">
        <f>AU35</f>
        <v>0</v>
      </c>
      <c r="AH47" s="99">
        <f>IF(AG47&gt;AI47,"в","")</f>
      </c>
      <c r="AI47" s="100">
        <f>AS35</f>
        <v>0</v>
      </c>
      <c r="AJ47" s="98">
        <f>AU38</f>
        <v>0</v>
      </c>
      <c r="AK47" s="99">
        <f>IF(AJ47&gt;AL47,"в","")</f>
      </c>
      <c r="AL47" s="100">
        <f>AS38</f>
        <v>0</v>
      </c>
      <c r="AM47" s="98">
        <f>AU41</f>
        <v>0</v>
      </c>
      <c r="AN47" s="99">
        <f>IF(AM47&gt;AO47,"в","")</f>
      </c>
      <c r="AO47" s="100">
        <f>AS41</f>
        <v>0</v>
      </c>
      <c r="AP47" s="98">
        <f>AU44</f>
        <v>0</v>
      </c>
      <c r="AQ47" s="99">
        <f>IF(AP47&gt;AR47,"в","")</f>
      </c>
      <c r="AR47" s="100">
        <f>AS44</f>
        <v>0</v>
      </c>
      <c r="AS47" s="101"/>
      <c r="AT47" s="102">
        <v>14</v>
      </c>
      <c r="AU47" s="103"/>
      <c r="AV47" s="202"/>
      <c r="AW47" s="179"/>
      <c r="AX47" s="184"/>
      <c r="AY47" s="183"/>
      <c r="AZ47" s="176"/>
      <c r="BA47" s="174"/>
      <c r="BB47" s="180"/>
      <c r="BC47" s="44" t="e">
        <f>BC46*3</f>
        <v>#DIV/0!</v>
      </c>
      <c r="BD47" s="173"/>
      <c r="BE47" s="260"/>
      <c r="BG47" s="236"/>
      <c r="BH47" s="236"/>
      <c r="BJ47" s="22"/>
      <c r="BK47" s="164"/>
      <c r="BL47" s="165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65"/>
    </row>
    <row r="48" spans="1:80" ht="18" customHeight="1" thickBot="1" thickTop="1">
      <c r="A48" s="235"/>
      <c r="B48" s="104"/>
      <c r="C48" s="217"/>
      <c r="D48" s="217"/>
      <c r="E48" s="218"/>
      <c r="F48" s="105"/>
      <c r="G48" s="106"/>
      <c r="H48" s="107"/>
      <c r="I48" s="105"/>
      <c r="J48" s="106"/>
      <c r="K48" s="107"/>
      <c r="L48" s="105"/>
      <c r="M48" s="106"/>
      <c r="N48" s="107"/>
      <c r="O48" s="105"/>
      <c r="P48" s="106"/>
      <c r="Q48" s="107"/>
      <c r="R48" s="105"/>
      <c r="S48" s="106"/>
      <c r="T48" s="107"/>
      <c r="U48" s="105"/>
      <c r="V48" s="106"/>
      <c r="W48" s="107"/>
      <c r="X48" s="105"/>
      <c r="Y48" s="106"/>
      <c r="Z48" s="107"/>
      <c r="AA48" s="105"/>
      <c r="AB48" s="106"/>
      <c r="AC48" s="107"/>
      <c r="AD48" s="105"/>
      <c r="AE48" s="106"/>
      <c r="AF48" s="107"/>
      <c r="AG48" s="105"/>
      <c r="AH48" s="106"/>
      <c r="AI48" s="107"/>
      <c r="AJ48" s="105"/>
      <c r="AK48" s="106"/>
      <c r="AL48" s="107"/>
      <c r="AM48" s="105"/>
      <c r="AN48" s="106"/>
      <c r="AO48" s="107"/>
      <c r="AP48" s="105"/>
      <c r="AQ48" s="106"/>
      <c r="AR48" s="107"/>
      <c r="AS48" s="108"/>
      <c r="AT48" s="109"/>
      <c r="AU48" s="110"/>
      <c r="AV48" s="203"/>
      <c r="AW48" s="178">
        <f>AW46-AY46</f>
        <v>0</v>
      </c>
      <c r="AX48" s="178"/>
      <c r="AY48" s="178"/>
      <c r="AZ48" s="177"/>
      <c r="BA48" s="174"/>
      <c r="BB48" s="180"/>
      <c r="BC48" s="67" t="e">
        <f>AVERAGE(F48:AU48)</f>
        <v>#DIV/0!</v>
      </c>
      <c r="BD48" s="173"/>
      <c r="BE48" s="172"/>
      <c r="BG48" s="236"/>
      <c r="BH48" s="236"/>
      <c r="BJ48" s="22"/>
      <c r="BK48" s="164"/>
      <c r="BL48" s="165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65"/>
    </row>
    <row r="49" spans="62:79" ht="13.5" thickTop="1">
      <c r="BJ49" s="22"/>
      <c r="BK49" s="164">
        <f>BK7</f>
        <v>11.018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</row>
    <row r="50" spans="62:79" ht="12.75">
      <c r="BJ50" s="22"/>
      <c r="BK50" s="164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</row>
    <row r="51" spans="62:79" ht="12.75">
      <c r="BJ51" s="22"/>
      <c r="BK51" s="164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</row>
    <row r="52" spans="62:79" ht="12.75">
      <c r="BJ52" s="22"/>
      <c r="BK52" s="164">
        <f>BK10</f>
        <v>8.004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</row>
    <row r="53" spans="62:79" ht="12.75">
      <c r="BJ53" s="22"/>
      <c r="BK53" s="164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</row>
    <row r="54" spans="62:79" ht="12.75">
      <c r="BJ54" s="22"/>
      <c r="BK54" s="164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</row>
    <row r="55" spans="62:79" ht="12.75">
      <c r="BJ55" s="22"/>
      <c r="BK55" s="164">
        <f>BK13</f>
        <v>2.982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</row>
    <row r="56" spans="62:79" ht="12.75">
      <c r="BJ56" s="22"/>
      <c r="BK56" s="164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</row>
    <row r="57" spans="62:79" ht="12.75">
      <c r="BJ57" s="22"/>
      <c r="BK57" s="164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</row>
    <row r="58" spans="62:79" ht="12.75">
      <c r="BJ58" s="22"/>
      <c r="BK58" s="164">
        <f>BK16</f>
        <v>3.988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</row>
    <row r="59" spans="62:79" ht="12.75">
      <c r="BJ59" s="22"/>
      <c r="BK59" s="164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</row>
    <row r="60" spans="62:79" ht="12.75">
      <c r="BJ60" s="22"/>
      <c r="BK60" s="164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</row>
    <row r="61" spans="62:79" ht="12.75">
      <c r="BJ61" s="22"/>
      <c r="BK61" s="164">
        <f>BK19</f>
        <v>8.004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</row>
    <row r="62" spans="62:79" ht="12.75">
      <c r="BJ62" s="22"/>
      <c r="BK62" s="164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</row>
    <row r="63" spans="62:79" ht="12.75">
      <c r="BJ63" s="22"/>
      <c r="BK63" s="164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</row>
    <row r="64" spans="62:79" ht="12.75">
      <c r="BJ64" s="22"/>
      <c r="BK64" s="164">
        <f>BK22</f>
        <v>8.001999999999999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</row>
    <row r="65" spans="62:79" ht="12.75">
      <c r="BJ65" s="22"/>
      <c r="BK65" s="164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</row>
    <row r="66" spans="62:79" ht="12.75">
      <c r="BJ66" s="22"/>
      <c r="BK66" s="164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</row>
    <row r="67" spans="62:79" ht="12.75">
      <c r="BJ67" s="22"/>
      <c r="BK67" s="164">
        <f>BK25</f>
        <v>8.004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</row>
    <row r="68" spans="62:79" ht="12.75">
      <c r="BJ68" s="22"/>
      <c r="BK68" s="164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</row>
    <row r="69" spans="62:79" ht="12.75">
      <c r="BJ69" s="22"/>
      <c r="BK69" s="164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</row>
    <row r="70" spans="62:79" ht="12.75">
      <c r="BJ70" s="22"/>
      <c r="BK70" s="164">
        <f>BK28</f>
        <v>6.999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</row>
    <row r="71" spans="62:79" ht="12.75">
      <c r="BJ71" s="22"/>
      <c r="BK71" s="164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</row>
    <row r="72" spans="62:79" ht="12.75">
      <c r="BJ72" s="22"/>
      <c r="BK72" s="164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</row>
    <row r="73" spans="62:79" ht="12.75">
      <c r="BJ73" s="22"/>
      <c r="BK73" s="164">
        <f>BK31</f>
        <v>8.007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</row>
    <row r="74" spans="62:79" ht="12.75">
      <c r="BJ74" s="22"/>
      <c r="BK74" s="164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</row>
    <row r="75" spans="62:79" ht="12.75">
      <c r="BJ75" s="22"/>
      <c r="BK75" s="164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</row>
    <row r="76" spans="62:79" ht="12.75">
      <c r="BJ76" s="22"/>
      <c r="BK76" s="164">
        <f>BK34</f>
        <v>4.9879999999999995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</row>
    <row r="77" spans="62:79" ht="12.75">
      <c r="BJ77" s="22"/>
      <c r="BK77" s="164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</row>
    <row r="78" spans="62:79" ht="12.75">
      <c r="BJ78" s="22"/>
      <c r="BK78" s="164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</row>
    <row r="79" spans="62:79" ht="12.75">
      <c r="BJ79" s="22"/>
      <c r="BK79" s="164">
        <f>BK37</f>
        <v>8.004999999999999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</row>
    <row r="80" spans="62:79" ht="12.75">
      <c r="BJ80" s="22"/>
      <c r="BK80" s="164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</row>
    <row r="81" spans="62:79" ht="12.75">
      <c r="BJ81" s="22"/>
      <c r="BK81" s="164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</row>
    <row r="82" spans="62:79" ht="12.75">
      <c r="BJ82" s="22"/>
      <c r="BK82" s="164">
        <f>BK40</f>
        <v>5.998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</row>
    <row r="83" spans="62:79" ht="12.75">
      <c r="BJ83" s="22"/>
      <c r="BK83" s="164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</row>
    <row r="84" spans="62:79" ht="12.75">
      <c r="BJ84" s="22"/>
      <c r="BK84" s="164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</row>
    <row r="85" spans="62:79" ht="12.75">
      <c r="BJ85" s="22"/>
      <c r="BK85" s="164">
        <f>BK43</f>
        <v>7.001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</row>
    <row r="86" spans="62:79" ht="12.75">
      <c r="BJ86" s="22"/>
      <c r="BK86" s="164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</row>
    <row r="87" spans="62:79" ht="12.75">
      <c r="BJ87" s="22"/>
      <c r="BK87" s="164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</row>
    <row r="88" spans="62:79" ht="12.75">
      <c r="BJ88" s="22"/>
      <c r="BK88" s="164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</row>
    <row r="89" spans="62:79" ht="12.75">
      <c r="BJ89" s="22"/>
      <c r="BK89" s="164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</row>
    <row r="90" spans="62:79" ht="12.75">
      <c r="BJ90" s="22"/>
      <c r="BK90" s="164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25:BK27"/>
    <mergeCell ref="BK28:BK30"/>
    <mergeCell ref="BK31:BK33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G46:BG48"/>
    <mergeCell ref="BE31:BE33"/>
    <mergeCell ref="BE34:BE36"/>
    <mergeCell ref="BE37:BE39"/>
    <mergeCell ref="BE40:BE42"/>
    <mergeCell ref="BE43:BE45"/>
    <mergeCell ref="BE46:BE48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B7:BB9"/>
    <mergeCell ref="BB10:BB12"/>
    <mergeCell ref="BB13:BB15"/>
    <mergeCell ref="BB16:BB18"/>
    <mergeCell ref="BB19:BB21"/>
    <mergeCell ref="BB22:BB24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10:AF10"/>
    <mergeCell ref="AH10:AI10"/>
    <mergeCell ref="AT10:AU10"/>
    <mergeCell ref="AV10:AV12"/>
    <mergeCell ref="AX13:AX14"/>
    <mergeCell ref="AY13:AY14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V22:W22"/>
    <mergeCell ref="AT22:AU22"/>
    <mergeCell ref="AV22:AV24"/>
    <mergeCell ref="AQ22:AR22"/>
    <mergeCell ref="AW22:AW23"/>
    <mergeCell ref="AX22:AX23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S34:T34"/>
    <mergeCell ref="V34:W34"/>
    <mergeCell ref="Y34:Z34"/>
    <mergeCell ref="S37:T37"/>
    <mergeCell ref="V37:W37"/>
    <mergeCell ref="Y37:Z37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V31:W31"/>
    <mergeCell ref="Y31:Z31"/>
    <mergeCell ref="V28:W28"/>
    <mergeCell ref="Y28:Z28"/>
    <mergeCell ref="C28:E30"/>
    <mergeCell ref="S28:T28"/>
    <mergeCell ref="M31:N31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J43:K43"/>
    <mergeCell ref="M40:N40"/>
    <mergeCell ref="P40:Q40"/>
    <mergeCell ref="J28:K28"/>
    <mergeCell ref="M28:N28"/>
    <mergeCell ref="P28:Q28"/>
    <mergeCell ref="P34:Q34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H4:AI4"/>
    <mergeCell ref="AK4:AL4"/>
    <mergeCell ref="AN4:AO4"/>
    <mergeCell ref="AQ4:AR4"/>
    <mergeCell ref="AT4:AU4"/>
    <mergeCell ref="AV4:AV6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BA4:BA6"/>
    <mergeCell ref="BA7:BA9"/>
    <mergeCell ref="BA10:BA12"/>
    <mergeCell ref="BA13:BA15"/>
    <mergeCell ref="BA16:BA18"/>
    <mergeCell ref="BA19:BA21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D4:BD6"/>
    <mergeCell ref="BD7:BD9"/>
    <mergeCell ref="BD10:BD12"/>
    <mergeCell ref="BD13:BD15"/>
    <mergeCell ref="BD16:BD18"/>
    <mergeCell ref="BD19:BD21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 AW12:AY12 AW15:AY15 AW18:AY18 AW21:AY21 AW24:AY24 AW27:AY27 AW30:AY30 AW33:AY33 AW36:AY36 AW39:AY39 AW42:AY42 AW45:AY45 AW48:AY48">
    <cfRule type="cellIs" priority="3220" dxfId="2" operator="greaterThanOrEqual" stopIfTrue="1">
      <formula>1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3" operator="between" stopIfTrue="1">
      <formula>21</formula>
      <formula>22.99999999</formula>
    </cfRule>
    <cfRule type="cellIs" priority="3228" dxfId="2" operator="between" stopIfTrue="1">
      <formula>23</formula>
      <formula>26.999</formula>
    </cfRule>
    <cfRule type="cellIs" priority="3229" dxfId="1" operator="greaterThanOrEqual" stopIfTrue="1">
      <formula>27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12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98" t="s">
        <v>26</v>
      </c>
      <c r="B1" s="298"/>
      <c r="C1" s="298"/>
      <c r="D1" s="298"/>
      <c r="E1" s="298"/>
      <c r="F1" s="298"/>
      <c r="G1" s="298"/>
      <c r="H1" s="298"/>
      <c r="I1" s="298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55</v>
      </c>
      <c r="I2" s="3" t="s">
        <v>24</v>
      </c>
    </row>
    <row r="3" spans="1:9" ht="24">
      <c r="A3" s="4">
        <v>1</v>
      </c>
      <c r="B3" s="10" t="s">
        <v>69</v>
      </c>
      <c r="C3" s="15"/>
      <c r="D3" s="15"/>
      <c r="E3" s="15" t="s">
        <v>104</v>
      </c>
      <c r="F3" s="15"/>
      <c r="G3" s="15"/>
      <c r="H3" s="15"/>
      <c r="I3" s="12"/>
    </row>
    <row r="4" spans="1:9" ht="24">
      <c r="A4" s="4">
        <v>2</v>
      </c>
      <c r="B4" s="10" t="s">
        <v>70</v>
      </c>
      <c r="C4" s="15"/>
      <c r="D4" s="15"/>
      <c r="F4" s="15"/>
      <c r="G4" s="15"/>
      <c r="H4" s="15"/>
      <c r="I4" s="12"/>
    </row>
    <row r="5" spans="1:9" ht="24">
      <c r="A5" s="4">
        <v>3</v>
      </c>
      <c r="B5" s="10" t="s">
        <v>71</v>
      </c>
      <c r="C5" s="15"/>
      <c r="D5" s="15"/>
      <c r="E5" s="15"/>
      <c r="F5" s="15"/>
      <c r="G5" s="15"/>
      <c r="H5" s="15"/>
      <c r="I5" s="12"/>
    </row>
    <row r="6" spans="1:9" ht="24">
      <c r="A6" s="4">
        <v>4</v>
      </c>
      <c r="B6" s="10" t="s">
        <v>72</v>
      </c>
      <c r="C6" s="15"/>
      <c r="D6" s="15"/>
      <c r="E6" s="15"/>
      <c r="F6" s="15"/>
      <c r="G6" s="15"/>
      <c r="H6" s="15"/>
      <c r="I6" s="12"/>
    </row>
    <row r="7" spans="1:9" ht="27" customHeight="1">
      <c r="A7" s="4">
        <v>5</v>
      </c>
      <c r="B7" s="10" t="s">
        <v>73</v>
      </c>
      <c r="C7" s="15" t="s">
        <v>80</v>
      </c>
      <c r="D7" s="15" t="s">
        <v>100</v>
      </c>
      <c r="E7" s="15" t="s">
        <v>105</v>
      </c>
      <c r="F7" s="15"/>
      <c r="G7" s="15"/>
      <c r="H7" s="15"/>
      <c r="I7" s="12"/>
    </row>
    <row r="8" spans="1:9" ht="24">
      <c r="A8" s="4">
        <v>6</v>
      </c>
      <c r="B8" s="10" t="s">
        <v>74</v>
      </c>
      <c r="C8" s="16"/>
      <c r="D8" s="15" t="s">
        <v>101</v>
      </c>
      <c r="E8" s="15"/>
      <c r="F8" s="15"/>
      <c r="G8" s="15"/>
      <c r="H8" s="15"/>
      <c r="I8" s="12"/>
    </row>
    <row r="9" spans="1:9" ht="24">
      <c r="A9" s="4">
        <v>7</v>
      </c>
      <c r="B9" s="10" t="s">
        <v>23</v>
      </c>
      <c r="C9" s="15"/>
      <c r="D9" s="15"/>
      <c r="E9" s="15"/>
      <c r="F9" s="15"/>
      <c r="G9" s="15"/>
      <c r="H9" s="15"/>
      <c r="I9" s="12"/>
    </row>
    <row r="10" spans="1:9" ht="24">
      <c r="A10" s="4">
        <v>8</v>
      </c>
      <c r="B10" s="10" t="s">
        <v>75</v>
      </c>
      <c r="C10" s="15" t="s">
        <v>91</v>
      </c>
      <c r="D10" s="15"/>
      <c r="E10" s="15"/>
      <c r="F10" s="15"/>
      <c r="G10" s="15"/>
      <c r="H10" s="15"/>
      <c r="I10" s="12"/>
    </row>
    <row r="11" spans="1:9" ht="24">
      <c r="A11" s="4">
        <v>9</v>
      </c>
      <c r="B11" s="10" t="s">
        <v>76</v>
      </c>
      <c r="C11" s="15" t="s">
        <v>80</v>
      </c>
      <c r="D11" s="15"/>
      <c r="E11" s="15"/>
      <c r="F11" s="15"/>
      <c r="G11" s="15"/>
      <c r="H11" s="15"/>
      <c r="I11" s="12"/>
    </row>
    <row r="12" spans="1:9" ht="24">
      <c r="A12" s="4">
        <v>10</v>
      </c>
      <c r="B12" s="10" t="s">
        <v>77</v>
      </c>
      <c r="C12" s="15"/>
      <c r="D12" s="15"/>
      <c r="E12" s="15" t="s">
        <v>91</v>
      </c>
      <c r="F12" s="17"/>
      <c r="G12" s="15"/>
      <c r="H12" s="15"/>
      <c r="I12" s="12"/>
    </row>
    <row r="13" spans="1:9" ht="24">
      <c r="A13" s="4">
        <v>11</v>
      </c>
      <c r="B13" s="10" t="s">
        <v>78</v>
      </c>
      <c r="C13" s="15" t="s">
        <v>90</v>
      </c>
      <c r="D13" s="15" t="s">
        <v>99</v>
      </c>
      <c r="E13" s="15"/>
      <c r="F13" s="15"/>
      <c r="G13" s="15"/>
      <c r="H13" s="15"/>
      <c r="I13" s="12"/>
    </row>
    <row r="14" spans="1:9" ht="24">
      <c r="A14" s="4">
        <v>12</v>
      </c>
      <c r="B14" s="10" t="s">
        <v>32</v>
      </c>
      <c r="C14" s="15" t="s">
        <v>80</v>
      </c>
      <c r="D14" s="15"/>
      <c r="E14" s="15"/>
      <c r="F14" s="15"/>
      <c r="G14" s="15"/>
      <c r="H14" s="15"/>
      <c r="I14" s="12"/>
    </row>
    <row r="15" spans="1:9" ht="24">
      <c r="A15" s="4">
        <v>13</v>
      </c>
      <c r="B15" s="10" t="s">
        <v>79</v>
      </c>
      <c r="C15" s="15"/>
      <c r="D15" s="15" t="s">
        <v>102</v>
      </c>
      <c r="E15" s="15" t="s">
        <v>106</v>
      </c>
      <c r="F15" s="18"/>
      <c r="G15" s="15"/>
      <c r="H15" s="15"/>
      <c r="I15" s="12"/>
    </row>
    <row r="16" spans="1:9" ht="24">
      <c r="A16" s="4">
        <v>14</v>
      </c>
      <c r="B16" s="10" t="s">
        <v>92</v>
      </c>
      <c r="C16" s="15"/>
      <c r="D16" s="15"/>
      <c r="E16" s="15"/>
      <c r="F16" s="15"/>
      <c r="G16" s="15"/>
      <c r="H16" s="15"/>
      <c r="I16" s="12"/>
    </row>
    <row r="17" spans="1:9" ht="24">
      <c r="A17" s="295" t="s">
        <v>30</v>
      </c>
      <c r="B17" s="296"/>
      <c r="C17" s="15" t="s">
        <v>81</v>
      </c>
      <c r="D17" s="15"/>
      <c r="E17" s="15" t="s">
        <v>81</v>
      </c>
      <c r="F17" s="15"/>
      <c r="G17" s="15"/>
      <c r="H17" s="15"/>
      <c r="I17" s="12"/>
    </row>
    <row r="18" ht="48">
      <c r="C18" s="10" t="s">
        <v>69</v>
      </c>
    </row>
    <row r="19" ht="48">
      <c r="C19" s="10" t="s">
        <v>70</v>
      </c>
    </row>
    <row r="20" ht="32.25">
      <c r="C20" s="10" t="s">
        <v>71</v>
      </c>
    </row>
    <row r="21" ht="64.5">
      <c r="C21" s="10" t="s">
        <v>72</v>
      </c>
    </row>
    <row r="22" ht="32.25">
      <c r="C22" s="10" t="s">
        <v>73</v>
      </c>
    </row>
    <row r="23" ht="32.25">
      <c r="C23" s="10" t="s">
        <v>74</v>
      </c>
    </row>
    <row r="24" ht="32.25">
      <c r="C24" s="10" t="s">
        <v>23</v>
      </c>
    </row>
    <row r="25" ht="32.25">
      <c r="C25" s="10" t="s">
        <v>75</v>
      </c>
    </row>
    <row r="26" ht="32.25">
      <c r="C26" s="10" t="s">
        <v>76</v>
      </c>
    </row>
    <row r="27" ht="48">
      <c r="C27" s="10" t="s">
        <v>77</v>
      </c>
    </row>
    <row r="28" ht="32.25">
      <c r="C28" s="10" t="s">
        <v>78</v>
      </c>
    </row>
    <row r="29" ht="48">
      <c r="C29" s="10" t="s">
        <v>32</v>
      </c>
    </row>
    <row r="30" ht="32.25">
      <c r="C30" s="10" t="s">
        <v>79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16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9.140625" style="91" customWidth="1"/>
    <col min="2" max="2" width="3.8515625" style="91" bestFit="1" customWidth="1"/>
    <col min="3" max="3" width="29.7109375" style="91" customWidth="1"/>
    <col min="4" max="4" width="29.7109375" style="91" hidden="1" customWidth="1"/>
    <col min="5" max="5" width="11.57421875" style="91" customWidth="1"/>
    <col min="6" max="10" width="10.00390625" style="91" bestFit="1" customWidth="1"/>
    <col min="11" max="14" width="9.140625" style="91" hidden="1" customWidth="1"/>
    <col min="15" max="15" width="16.421875" style="91" customWidth="1"/>
    <col min="16" max="17" width="9.140625" style="91" customWidth="1"/>
    <col min="18" max="16384" width="9.140625" style="91" customWidth="1"/>
  </cols>
  <sheetData>
    <row r="1" spans="2:15" ht="24.75" customHeight="1">
      <c r="B1" s="299" t="s">
        <v>87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2:15" ht="12.75" customHeight="1">
      <c r="B2" s="92"/>
      <c r="C2" s="125" t="s">
        <v>3</v>
      </c>
      <c r="D2" s="126" t="s">
        <v>82</v>
      </c>
      <c r="E2" s="126" t="s">
        <v>4</v>
      </c>
      <c r="F2" s="126" t="s">
        <v>5</v>
      </c>
      <c r="G2" s="126" t="s">
        <v>6</v>
      </c>
      <c r="H2" s="126" t="s">
        <v>7</v>
      </c>
      <c r="I2" s="126" t="s">
        <v>8</v>
      </c>
      <c r="J2" s="126" t="s">
        <v>55</v>
      </c>
      <c r="K2" s="126" t="s">
        <v>83</v>
      </c>
      <c r="L2" s="126" t="s">
        <v>84</v>
      </c>
      <c r="M2" s="126" t="s">
        <v>85</v>
      </c>
      <c r="N2" s="126" t="s">
        <v>86</v>
      </c>
      <c r="O2" s="127" t="s">
        <v>27</v>
      </c>
    </row>
    <row r="3" spans="2:15" ht="24">
      <c r="B3" s="162">
        <v>1</v>
      </c>
      <c r="C3" s="10" t="s">
        <v>78</v>
      </c>
      <c r="E3" s="128">
        <v>23</v>
      </c>
      <c r="F3" s="128">
        <v>26</v>
      </c>
      <c r="G3" s="128">
        <v>30</v>
      </c>
      <c r="H3" s="128"/>
      <c r="I3" s="128"/>
      <c r="J3" s="128"/>
      <c r="K3" s="128"/>
      <c r="L3" s="128"/>
      <c r="M3" s="128"/>
      <c r="N3" s="128"/>
      <c r="O3" s="129">
        <f>SUM(E3:J3)</f>
        <v>79</v>
      </c>
    </row>
    <row r="4" spans="2:15" ht="24">
      <c r="B4" s="162">
        <v>2</v>
      </c>
      <c r="C4" s="10" t="s">
        <v>69</v>
      </c>
      <c r="E4" s="128">
        <v>30</v>
      </c>
      <c r="F4" s="128">
        <v>23</v>
      </c>
      <c r="G4" s="128">
        <v>23</v>
      </c>
      <c r="H4" s="128"/>
      <c r="I4" s="128"/>
      <c r="J4" s="128"/>
      <c r="K4" s="128"/>
      <c r="L4" s="128"/>
      <c r="M4" s="128"/>
      <c r="N4" s="128"/>
      <c r="O4" s="129">
        <f>SUM(E4:J4)</f>
        <v>76</v>
      </c>
    </row>
    <row r="5" spans="2:15" ht="24">
      <c r="B5" s="162">
        <v>3</v>
      </c>
      <c r="C5" s="10" t="s">
        <v>70</v>
      </c>
      <c r="E5" s="128">
        <v>17</v>
      </c>
      <c r="F5" s="128">
        <v>17</v>
      </c>
      <c r="G5" s="128">
        <v>26</v>
      </c>
      <c r="H5" s="128"/>
      <c r="I5" s="128"/>
      <c r="J5" s="128"/>
      <c r="K5" s="128"/>
      <c r="L5" s="128"/>
      <c r="M5" s="128"/>
      <c r="N5" s="128"/>
      <c r="O5" s="129">
        <f>SUM(E5:J5)</f>
        <v>60</v>
      </c>
    </row>
    <row r="6" spans="2:15" ht="31.5" customHeight="1">
      <c r="B6" s="162">
        <v>4</v>
      </c>
      <c r="C6" s="10" t="s">
        <v>76</v>
      </c>
      <c r="E6" s="128">
        <v>26</v>
      </c>
      <c r="F6" s="128">
        <v>30</v>
      </c>
      <c r="G6" s="128">
        <v>0</v>
      </c>
      <c r="H6" s="128"/>
      <c r="I6" s="128"/>
      <c r="J6" s="128"/>
      <c r="K6" s="128"/>
      <c r="L6" s="128"/>
      <c r="M6" s="128"/>
      <c r="N6" s="128"/>
      <c r="O6" s="129">
        <f>SUM(E6:J6)</f>
        <v>56</v>
      </c>
    </row>
    <row r="7" spans="2:15" ht="24">
      <c r="B7" s="93">
        <v>5</v>
      </c>
      <c r="C7" s="10" t="s">
        <v>73</v>
      </c>
      <c r="E7" s="128">
        <v>20</v>
      </c>
      <c r="F7" s="128">
        <v>15</v>
      </c>
      <c r="G7" s="128">
        <v>20</v>
      </c>
      <c r="H7" s="128"/>
      <c r="I7" s="128"/>
      <c r="J7" s="128"/>
      <c r="K7" s="128"/>
      <c r="L7" s="128"/>
      <c r="M7" s="128"/>
      <c r="N7" s="128"/>
      <c r="O7" s="129">
        <f>SUM(E7:J7)</f>
        <v>55</v>
      </c>
    </row>
    <row r="8" spans="2:15" ht="24">
      <c r="B8" s="93">
        <v>6</v>
      </c>
      <c r="C8" s="10" t="s">
        <v>74</v>
      </c>
      <c r="E8" s="128">
        <v>13</v>
      </c>
      <c r="F8" s="128">
        <v>12</v>
      </c>
      <c r="G8" s="128">
        <v>17</v>
      </c>
      <c r="H8" s="128"/>
      <c r="I8" s="128"/>
      <c r="J8" s="128"/>
      <c r="K8" s="128"/>
      <c r="L8" s="128"/>
      <c r="M8" s="128"/>
      <c r="N8" s="128"/>
      <c r="O8" s="129">
        <f>SUM(E8:J8)</f>
        <v>42</v>
      </c>
    </row>
    <row r="9" spans="2:15" ht="24">
      <c r="B9" s="93">
        <v>7</v>
      </c>
      <c r="C9" s="10" t="s">
        <v>79</v>
      </c>
      <c r="E9" s="128">
        <v>12</v>
      </c>
      <c r="F9" s="128">
        <v>9</v>
      </c>
      <c r="G9" s="128">
        <v>15</v>
      </c>
      <c r="H9" s="128"/>
      <c r="I9" s="128"/>
      <c r="J9" s="128"/>
      <c r="K9" s="128"/>
      <c r="L9" s="128"/>
      <c r="M9" s="128"/>
      <c r="N9" s="128"/>
      <c r="O9" s="129">
        <f>SUM(E9:J9)</f>
        <v>36</v>
      </c>
    </row>
    <row r="10" spans="2:15" ht="24">
      <c r="B10" s="93">
        <v>8</v>
      </c>
      <c r="C10" s="10" t="s">
        <v>75</v>
      </c>
      <c r="E10" s="128">
        <v>9</v>
      </c>
      <c r="F10" s="128">
        <v>20</v>
      </c>
      <c r="G10" s="128">
        <v>0</v>
      </c>
      <c r="H10" s="128"/>
      <c r="I10" s="128"/>
      <c r="J10" s="128"/>
      <c r="K10" s="128"/>
      <c r="L10" s="128"/>
      <c r="M10" s="128"/>
      <c r="N10" s="128"/>
      <c r="O10" s="129">
        <f>SUM(E10:J10)</f>
        <v>29</v>
      </c>
    </row>
    <row r="11" spans="2:15" ht="24">
      <c r="B11" s="93">
        <v>9</v>
      </c>
      <c r="C11" s="10" t="s">
        <v>23</v>
      </c>
      <c r="E11" s="128">
        <v>15</v>
      </c>
      <c r="F11" s="128">
        <v>13</v>
      </c>
      <c r="G11" s="128">
        <v>0</v>
      </c>
      <c r="H11" s="128"/>
      <c r="I11" s="128"/>
      <c r="J11" s="128"/>
      <c r="K11" s="128"/>
      <c r="L11" s="128"/>
      <c r="M11" s="128"/>
      <c r="N11" s="128"/>
      <c r="O11" s="129">
        <f>SUM(E11:J11)</f>
        <v>28</v>
      </c>
    </row>
    <row r="12" spans="2:15" ht="24">
      <c r="B12" s="93">
        <v>10</v>
      </c>
      <c r="C12" s="10" t="s">
        <v>72</v>
      </c>
      <c r="E12" s="128">
        <v>6</v>
      </c>
      <c r="F12" s="128">
        <v>8</v>
      </c>
      <c r="G12" s="128">
        <v>9</v>
      </c>
      <c r="H12" s="128"/>
      <c r="I12" s="128"/>
      <c r="J12" s="128"/>
      <c r="K12" s="128"/>
      <c r="L12" s="128"/>
      <c r="M12" s="128"/>
      <c r="N12" s="128"/>
      <c r="O12" s="129">
        <f>SUM(E12:J12)</f>
        <v>23</v>
      </c>
    </row>
    <row r="13" spans="2:19" ht="24">
      <c r="B13" s="163">
        <v>11</v>
      </c>
      <c r="C13" s="10" t="s">
        <v>71</v>
      </c>
      <c r="E13" s="128">
        <v>5</v>
      </c>
      <c r="F13" s="128">
        <v>7</v>
      </c>
      <c r="G13" s="128">
        <v>8</v>
      </c>
      <c r="H13" s="128"/>
      <c r="I13" s="128"/>
      <c r="J13" s="128"/>
      <c r="K13" s="128"/>
      <c r="L13" s="128"/>
      <c r="M13" s="128"/>
      <c r="N13" s="128"/>
      <c r="O13" s="129">
        <f>SUM(E13:J13)</f>
        <v>20</v>
      </c>
      <c r="S13" s="91" t="s">
        <v>97</v>
      </c>
    </row>
    <row r="14" spans="2:15" ht="24">
      <c r="B14" s="163">
        <v>12</v>
      </c>
      <c r="C14" s="10" t="s">
        <v>77</v>
      </c>
      <c r="E14" s="128">
        <v>7</v>
      </c>
      <c r="F14" s="128">
        <v>0</v>
      </c>
      <c r="G14" s="128">
        <v>12</v>
      </c>
      <c r="H14" s="128"/>
      <c r="I14" s="128"/>
      <c r="J14" s="128"/>
      <c r="K14" s="128"/>
      <c r="L14" s="128"/>
      <c r="M14" s="128"/>
      <c r="N14" s="128"/>
      <c r="O14" s="129">
        <f>SUM(E14:J14)</f>
        <v>19</v>
      </c>
    </row>
    <row r="15" spans="2:15" ht="24">
      <c r="B15" s="163">
        <v>13</v>
      </c>
      <c r="C15" s="316" t="s">
        <v>92</v>
      </c>
      <c r="D15" s="91">
        <f>COUNTA(E15:I15)</f>
        <v>3</v>
      </c>
      <c r="E15" s="128">
        <v>0</v>
      </c>
      <c r="F15" s="128">
        <v>6</v>
      </c>
      <c r="G15" s="128">
        <v>13</v>
      </c>
      <c r="H15" s="128"/>
      <c r="I15" s="128"/>
      <c r="J15" s="128"/>
      <c r="K15" s="128"/>
      <c r="L15" s="128"/>
      <c r="M15" s="128"/>
      <c r="N15" s="128"/>
      <c r="O15" s="129">
        <f>SUM(E15:J15)</f>
        <v>19</v>
      </c>
    </row>
    <row r="16" spans="2:15" ht="24">
      <c r="B16" s="163">
        <v>14</v>
      </c>
      <c r="C16" s="315" t="s">
        <v>32</v>
      </c>
      <c r="E16" s="128">
        <v>8</v>
      </c>
      <c r="F16" s="128">
        <v>0</v>
      </c>
      <c r="G16" s="128">
        <v>0</v>
      </c>
      <c r="H16" s="128"/>
      <c r="I16" s="128"/>
      <c r="J16" s="128"/>
      <c r="K16" s="128"/>
      <c r="L16" s="128"/>
      <c r="M16" s="128"/>
      <c r="N16" s="128"/>
      <c r="O16" s="129">
        <f>SUM(E16:J16)</f>
        <v>8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7">
      <selection activeCell="AD30" sqref="AD30:AD32"/>
    </sheetView>
  </sheetViews>
  <sheetFormatPr defaultColWidth="9.140625" defaultRowHeight="12.75"/>
  <cols>
    <col min="1" max="2" width="8.7109375" style="74" customWidth="1"/>
    <col min="3" max="3" width="8.7109375" style="74" hidden="1" customWidth="1"/>
    <col min="4" max="4" width="8.7109375" style="74" customWidth="1"/>
    <col min="5" max="8" width="8.7109375" style="74" hidden="1" customWidth="1"/>
    <col min="9" max="9" width="8.7109375" style="74" customWidth="1"/>
    <col min="10" max="14" width="8.7109375" style="74" hidden="1" customWidth="1"/>
    <col min="15" max="15" width="8.7109375" style="74" customWidth="1"/>
    <col min="16" max="21" width="8.7109375" style="74" hidden="1" customWidth="1"/>
    <col min="22" max="22" width="8.7109375" style="74" customWidth="1"/>
    <col min="23" max="29" width="8.7109375" style="74" hidden="1" customWidth="1"/>
    <col min="30" max="30" width="8.7109375" style="74" customWidth="1"/>
    <col min="31" max="38" width="8.7109375" style="74" hidden="1" customWidth="1"/>
    <col min="39" max="39" width="8.7109375" style="74" customWidth="1"/>
    <col min="40" max="51" width="8.7109375" style="74" hidden="1" customWidth="1"/>
    <col min="52" max="54" width="8.7109375" style="83" hidden="1" customWidth="1"/>
    <col min="55" max="55" width="8.7109375" style="74" hidden="1" customWidth="1"/>
    <col min="56" max="56" width="8.7109375" style="83" customWidth="1"/>
    <col min="57" max="16384" width="9.140625" style="74" customWidth="1"/>
  </cols>
  <sheetData>
    <row r="1" spans="1:56" ht="13.5" thickBot="1">
      <c r="A1" s="68"/>
      <c r="B1" s="69"/>
      <c r="C1" s="313" t="s">
        <v>4</v>
      </c>
      <c r="D1" s="313"/>
      <c r="E1" s="313"/>
      <c r="F1" s="313"/>
      <c r="G1" s="313"/>
      <c r="H1" s="313"/>
      <c r="I1" s="314" t="s">
        <v>5</v>
      </c>
      <c r="J1" s="314"/>
      <c r="K1" s="314"/>
      <c r="L1" s="314"/>
      <c r="M1" s="314"/>
      <c r="N1" s="314"/>
      <c r="O1" s="70" t="s">
        <v>6</v>
      </c>
      <c r="P1" s="71"/>
      <c r="Q1" s="71"/>
      <c r="R1" s="71"/>
      <c r="S1" s="71"/>
      <c r="T1" s="71"/>
      <c r="U1" s="71"/>
      <c r="V1" s="72" t="s">
        <v>7</v>
      </c>
      <c r="W1" s="71"/>
      <c r="X1" s="71"/>
      <c r="Y1" s="71"/>
      <c r="Z1" s="71"/>
      <c r="AA1" s="71"/>
      <c r="AB1" s="71"/>
      <c r="AC1" s="71"/>
      <c r="AD1" s="70" t="s">
        <v>8</v>
      </c>
      <c r="AE1" s="73"/>
      <c r="AF1" s="73"/>
      <c r="AG1" s="73"/>
      <c r="AH1" s="73"/>
      <c r="AI1" s="73"/>
      <c r="AJ1" s="73"/>
      <c r="AK1" s="73"/>
      <c r="AL1" s="73"/>
      <c r="AM1" s="73" t="s">
        <v>55</v>
      </c>
      <c r="AN1" s="73"/>
      <c r="AO1" s="73"/>
      <c r="AP1" s="73"/>
      <c r="AQ1" s="73"/>
      <c r="AR1" s="73"/>
      <c r="AS1" s="73"/>
      <c r="AT1" s="312" t="s">
        <v>47</v>
      </c>
      <c r="AU1" s="312"/>
      <c r="AV1" s="312"/>
      <c r="AW1" s="312"/>
      <c r="AX1" s="312"/>
      <c r="AY1" s="73"/>
      <c r="AZ1" s="71"/>
      <c r="BA1" s="71"/>
      <c r="BB1" s="71"/>
      <c r="BC1" s="73"/>
      <c r="BD1" s="71"/>
    </row>
    <row r="2" spans="1:56" ht="13.5" thickBot="1">
      <c r="A2" s="75"/>
      <c r="B2" s="76"/>
      <c r="C2" s="77" t="s">
        <v>33</v>
      </c>
      <c r="D2" s="77" t="s">
        <v>39</v>
      </c>
      <c r="E2" s="77" t="s">
        <v>35</v>
      </c>
      <c r="F2" s="77" t="s">
        <v>36</v>
      </c>
      <c r="G2" s="77" t="s">
        <v>17</v>
      </c>
      <c r="H2" s="77" t="s">
        <v>38</v>
      </c>
      <c r="I2" s="78" t="s">
        <v>34</v>
      </c>
      <c r="J2" s="78" t="s">
        <v>35</v>
      </c>
      <c r="K2" s="78" t="s">
        <v>36</v>
      </c>
      <c r="L2" s="78" t="s">
        <v>40</v>
      </c>
      <c r="M2" s="78" t="s">
        <v>17</v>
      </c>
      <c r="N2" s="78" t="s">
        <v>37</v>
      </c>
      <c r="O2" s="77" t="s">
        <v>34</v>
      </c>
      <c r="P2" s="73" t="s">
        <v>35</v>
      </c>
      <c r="Q2" s="73" t="s">
        <v>36</v>
      </c>
      <c r="R2" s="73" t="s">
        <v>41</v>
      </c>
      <c r="S2" s="73" t="s">
        <v>17</v>
      </c>
      <c r="T2" s="73" t="s">
        <v>42</v>
      </c>
      <c r="U2" s="73" t="s">
        <v>43</v>
      </c>
      <c r="V2" s="78" t="s">
        <v>34</v>
      </c>
      <c r="W2" s="73" t="s">
        <v>35</v>
      </c>
      <c r="X2" s="73" t="s">
        <v>36</v>
      </c>
      <c r="Y2" s="73" t="s">
        <v>41</v>
      </c>
      <c r="Z2" s="73" t="s">
        <v>17</v>
      </c>
      <c r="AA2" s="73" t="s">
        <v>42</v>
      </c>
      <c r="AB2" s="73" t="s">
        <v>43</v>
      </c>
      <c r="AC2" s="73" t="s">
        <v>44</v>
      </c>
      <c r="AD2" s="77" t="s">
        <v>34</v>
      </c>
      <c r="AE2" s="73" t="s">
        <v>35</v>
      </c>
      <c r="AF2" s="73" t="s">
        <v>36</v>
      </c>
      <c r="AG2" s="73" t="s">
        <v>41</v>
      </c>
      <c r="AH2" s="73" t="s">
        <v>17</v>
      </c>
      <c r="AI2" s="73" t="s">
        <v>42</v>
      </c>
      <c r="AJ2" s="73" t="s">
        <v>43</v>
      </c>
      <c r="AK2" s="73" t="s">
        <v>44</v>
      </c>
      <c r="AL2" s="73"/>
      <c r="AM2" s="73"/>
      <c r="AN2" s="73"/>
      <c r="AO2" s="73"/>
      <c r="AP2" s="73"/>
      <c r="AQ2" s="73"/>
      <c r="AR2" s="73"/>
      <c r="AS2" s="73"/>
      <c r="AT2" s="79" t="s">
        <v>4</v>
      </c>
      <c r="AU2" s="80" t="s">
        <v>5</v>
      </c>
      <c r="AV2" s="79" t="s">
        <v>6</v>
      </c>
      <c r="AW2" s="80" t="s">
        <v>7</v>
      </c>
      <c r="AX2" s="79" t="s">
        <v>8</v>
      </c>
      <c r="AY2" s="73"/>
      <c r="AZ2" s="81" t="s">
        <v>45</v>
      </c>
      <c r="BA2" s="73" t="s">
        <v>46</v>
      </c>
      <c r="BB2" s="71" t="s">
        <v>51</v>
      </c>
      <c r="BC2" s="73" t="s">
        <v>50</v>
      </c>
      <c r="BD2" s="82" t="s">
        <v>1</v>
      </c>
    </row>
    <row r="3" spans="1:56" ht="9.75" customHeight="1" thickBot="1">
      <c r="A3" s="304" t="s">
        <v>98</v>
      </c>
      <c r="B3" s="304"/>
      <c r="C3" s="306">
        <v>14</v>
      </c>
      <c r="D3" s="308">
        <v>1</v>
      </c>
      <c r="E3" s="303">
        <f>D3*1000+C3</f>
        <v>1014</v>
      </c>
      <c r="F3" s="303">
        <f>RANK(E3,$E$3:$E$44,0)</f>
        <v>1</v>
      </c>
      <c r="G3" s="303">
        <f>VLOOKUP(A3,'1 тур'!$C$7:$BA$48,51,FALSE)</f>
        <v>30</v>
      </c>
      <c r="H3" s="303">
        <f>VLOOKUP(A3,'1 тур'!$C$7:$AZ$48,50,FALSE)</f>
        <v>1</v>
      </c>
      <c r="I3" s="308">
        <v>1</v>
      </c>
      <c r="J3" s="303">
        <f>I3*1000+G3*10+C3*0.01</f>
        <v>1300.14</v>
      </c>
      <c r="K3" s="303">
        <f>RANK(J3,$J$3:$J$44,0)</f>
        <v>1</v>
      </c>
      <c r="L3" s="303">
        <f>AT3+AU3</f>
        <v>53</v>
      </c>
      <c r="M3" s="303">
        <f>VLOOKUP(A3,'2 тур'!$C$7:$BA$48,51,FALSE)</f>
        <v>23</v>
      </c>
      <c r="N3" s="303">
        <f>LARGE(AT3:AU5,1)</f>
        <v>30</v>
      </c>
      <c r="O3" s="308">
        <v>1</v>
      </c>
      <c r="P3" s="303">
        <f>O3*1000+L3+N3*0.001+C3*0.00001</f>
        <v>1053.03014</v>
      </c>
      <c r="Q3" s="303">
        <f>RANK(P3,$P$3:$P$44)</f>
        <v>1</v>
      </c>
      <c r="R3" s="303">
        <f>AT3+AU3+AV3</f>
        <v>76</v>
      </c>
      <c r="S3" s="303">
        <f>VLOOKUP(A3,'3 тур'!$C$7:$BA$48,51,FALSE)</f>
        <v>23</v>
      </c>
      <c r="T3" s="303">
        <f>LARGE(AT3:AV5,1)</f>
        <v>30</v>
      </c>
      <c r="U3" s="303">
        <f>LARGE(AT3:AV5,2)</f>
        <v>23</v>
      </c>
      <c r="V3" s="308"/>
      <c r="W3" s="303">
        <f>V3*1000+R3*10+T3*0.01+U3*0.0001+C3*0.00001</f>
        <v>760.3024399999999</v>
      </c>
      <c r="X3" s="303">
        <f>RANK(W3,$W$3:$W$44,0)</f>
        <v>2</v>
      </c>
      <c r="Y3" s="303">
        <f>AT3+AU3+AV3+AW3</f>
        <v>76</v>
      </c>
      <c r="Z3" s="303">
        <f>VLOOKUP(A3,'4 тур'!$C$7:$BA$48,51,FALSE)</f>
        <v>0</v>
      </c>
      <c r="AA3" s="303">
        <f>LARGE(AT3:AW5,1)</f>
        <v>30</v>
      </c>
      <c r="AB3" s="303">
        <f>LARGE(AT3:AW5,2)</f>
        <v>23</v>
      </c>
      <c r="AC3" s="303">
        <f>LARGE(AT3:AW5,3)</f>
        <v>23</v>
      </c>
      <c r="AD3" s="308"/>
      <c r="AE3" s="308">
        <f>AD3*1000+Y3*10+AA3*0.1+AB3*0.001+AC3*0.00001+C3*0.000001</f>
        <v>763.023244</v>
      </c>
      <c r="AF3" s="308">
        <f>RANK(AE3,$AE$3:$AE$44,0)</f>
        <v>2</v>
      </c>
      <c r="AG3" s="308">
        <f>AT3+AU3+AV3+AW3+AX3</f>
        <v>76</v>
      </c>
      <c r="AH3" s="308">
        <f>VLOOKUP(A3,'5 тур'!$C$7:$BA$48,51,FALSE)</f>
        <v>0</v>
      </c>
      <c r="AI3" s="308">
        <f>LARGE(AT3:AX5,1)</f>
        <v>30</v>
      </c>
      <c r="AJ3" s="308">
        <f>LARGE(AT3:AX5,2)</f>
        <v>23</v>
      </c>
      <c r="AK3" s="308">
        <f>LARGE(AT3:AX5,3)</f>
        <v>23</v>
      </c>
      <c r="AL3" s="308"/>
      <c r="AM3" s="308"/>
      <c r="AN3" s="308"/>
      <c r="AO3" s="308"/>
      <c r="AP3" s="308"/>
      <c r="AQ3" s="308"/>
      <c r="AR3" s="308"/>
      <c r="AS3" s="308"/>
      <c r="AT3" s="303">
        <f>G3</f>
        <v>30</v>
      </c>
      <c r="AU3" s="303">
        <f>M3</f>
        <v>23</v>
      </c>
      <c r="AV3" s="303">
        <f>S3</f>
        <v>23</v>
      </c>
      <c r="AW3" s="303">
        <f>Z3</f>
        <v>0</v>
      </c>
      <c r="AX3" s="303">
        <f>AH3</f>
        <v>0</v>
      </c>
      <c r="AY3" s="303" t="str">
        <f>A3</f>
        <v>Сущенко Сергей
СФДМ, Москва</v>
      </c>
      <c r="AZ3" s="310">
        <f>AT3+AU3+AV3+AW3+AX3-SMALL(AT3:AX5,1)</f>
        <v>76</v>
      </c>
      <c r="BA3" s="303">
        <f>AG3*10000+AI3*100+AJ3*10+AK3*0.1</f>
        <v>763232.3</v>
      </c>
      <c r="BB3" s="310">
        <f>RANK(BA3,$BA$3:$BA$44,0)</f>
        <v>2</v>
      </c>
      <c r="BC3" s="303">
        <f>AZ3+LARGE(AT3:AX5,1)*0.01+LARGE(AT3:AX5,2)*0.0001+LARGE(AT3:AX5,3)*0.000001+LARGE(AT3:AX5,4)*0.00000001+LARGE(AT3:AX5,5)*0.0000000001</f>
        <v>76.302323</v>
      </c>
      <c r="BD3" s="302">
        <f>RANK(BC3,$BC$3:$BC$44,0)</f>
        <v>2</v>
      </c>
    </row>
    <row r="4" spans="1:56" ht="9.75" customHeight="1" thickBot="1">
      <c r="A4" s="305"/>
      <c r="B4" s="305"/>
      <c r="C4" s="307"/>
      <c r="D4" s="309"/>
      <c r="E4" s="301"/>
      <c r="F4" s="301"/>
      <c r="G4" s="301"/>
      <c r="H4" s="301"/>
      <c r="I4" s="309"/>
      <c r="J4" s="301"/>
      <c r="K4" s="301"/>
      <c r="L4" s="301"/>
      <c r="M4" s="301"/>
      <c r="N4" s="301"/>
      <c r="O4" s="309"/>
      <c r="P4" s="301"/>
      <c r="Q4" s="301"/>
      <c r="R4" s="301"/>
      <c r="S4" s="301"/>
      <c r="T4" s="301"/>
      <c r="U4" s="301"/>
      <c r="V4" s="309"/>
      <c r="W4" s="301"/>
      <c r="X4" s="301"/>
      <c r="Y4" s="301"/>
      <c r="Z4" s="301"/>
      <c r="AA4" s="301"/>
      <c r="AB4" s="301"/>
      <c r="AC4" s="301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1"/>
      <c r="AU4" s="301"/>
      <c r="AV4" s="301"/>
      <c r="AW4" s="301"/>
      <c r="AX4" s="301"/>
      <c r="AY4" s="301"/>
      <c r="AZ4" s="311"/>
      <c r="BA4" s="301"/>
      <c r="BB4" s="311"/>
      <c r="BC4" s="301"/>
      <c r="BD4" s="300"/>
    </row>
    <row r="5" spans="1:56" ht="9.75" customHeight="1" thickBot="1">
      <c r="A5" s="305"/>
      <c r="B5" s="305"/>
      <c r="C5" s="307"/>
      <c r="D5" s="309"/>
      <c r="E5" s="301"/>
      <c r="F5" s="301"/>
      <c r="G5" s="301"/>
      <c r="H5" s="301"/>
      <c r="I5" s="309"/>
      <c r="J5" s="301"/>
      <c r="K5" s="301"/>
      <c r="L5" s="301"/>
      <c r="M5" s="301"/>
      <c r="N5" s="301"/>
      <c r="O5" s="309"/>
      <c r="P5" s="301"/>
      <c r="Q5" s="301"/>
      <c r="R5" s="301"/>
      <c r="S5" s="301"/>
      <c r="T5" s="301"/>
      <c r="U5" s="301"/>
      <c r="V5" s="309"/>
      <c r="W5" s="301"/>
      <c r="X5" s="301"/>
      <c r="Y5" s="301"/>
      <c r="Z5" s="301"/>
      <c r="AA5" s="301"/>
      <c r="AB5" s="301"/>
      <c r="AC5" s="301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1"/>
      <c r="AU5" s="301"/>
      <c r="AV5" s="301"/>
      <c r="AW5" s="301"/>
      <c r="AX5" s="301"/>
      <c r="AY5" s="301"/>
      <c r="AZ5" s="311"/>
      <c r="BA5" s="301"/>
      <c r="BB5" s="311"/>
      <c r="BC5" s="301"/>
      <c r="BD5" s="300"/>
    </row>
    <row r="6" spans="1:56" ht="9.75" customHeight="1" thickBot="1">
      <c r="A6" s="304" t="s">
        <v>57</v>
      </c>
      <c r="B6" s="304"/>
      <c r="C6" s="307">
        <v>13</v>
      </c>
      <c r="D6" s="309">
        <v>1</v>
      </c>
      <c r="E6" s="301">
        <f>D6*1000+C6</f>
        <v>1013</v>
      </c>
      <c r="F6" s="301">
        <f>RANK(E6,$E$3:$E$44,0)</f>
        <v>2</v>
      </c>
      <c r="G6" s="301">
        <f>VLOOKUP(A6,'1 тур'!$C$7:$BA$48,51,FALSE)</f>
        <v>17</v>
      </c>
      <c r="H6" s="301">
        <f>VLOOKUP(A6,'1 тур'!$C$7:$AZ$48,50,FALSE)</f>
        <v>5</v>
      </c>
      <c r="I6" s="309">
        <v>1</v>
      </c>
      <c r="J6" s="301">
        <f>I6*1000+G6*10+C6*0.01</f>
        <v>1170.13</v>
      </c>
      <c r="K6" s="301">
        <f>RANK(J6,$J$3:$J$44,0)</f>
        <v>5</v>
      </c>
      <c r="L6" s="301">
        <f>AT6+AU6</f>
        <v>34</v>
      </c>
      <c r="M6" s="301">
        <f>VLOOKUP(A6,'2 тур'!$C$7:$BA$48,51,FALSE)</f>
        <v>17</v>
      </c>
      <c r="N6" s="301">
        <f>LARGE(AT6:AU8,1)</f>
        <v>17</v>
      </c>
      <c r="O6" s="309">
        <v>1</v>
      </c>
      <c r="P6" s="301">
        <f>O6*1000+L6+N6*0.001+C6*0.00001</f>
        <v>1034.01713</v>
      </c>
      <c r="Q6" s="301">
        <f>RANK(P6,$P$3:$P$44)</f>
        <v>4</v>
      </c>
      <c r="R6" s="301">
        <f>AT6+AU6+AV6</f>
        <v>60</v>
      </c>
      <c r="S6" s="301">
        <f>VLOOKUP(A6,'3 тур'!$C$7:$BA$48,51,FALSE)</f>
        <v>26</v>
      </c>
      <c r="T6" s="301">
        <f>LARGE(AT6:AV8,1)</f>
        <v>26</v>
      </c>
      <c r="U6" s="301">
        <f>LARGE(AT6:AV8,2)</f>
        <v>17</v>
      </c>
      <c r="V6" s="309"/>
      <c r="W6" s="301">
        <f>V6*1000+R6*10+T6*0.01+U6*0.0001+C6*0.00001</f>
        <v>600.26183</v>
      </c>
      <c r="X6" s="301">
        <f>RANK(W6,$W$3:$W$44,0)</f>
        <v>3</v>
      </c>
      <c r="Y6" s="301">
        <f>AT6+AU6+AV6+AW6</f>
        <v>60</v>
      </c>
      <c r="Z6" s="301">
        <f>VLOOKUP(A6,'4 тур'!$C$7:$BA$48,51,FALSE)</f>
        <v>0</v>
      </c>
      <c r="AA6" s="301">
        <f>LARGE(AT6:AW8,1)</f>
        <v>26</v>
      </c>
      <c r="AB6" s="301">
        <f>LARGE(AT6:AW8,2)</f>
        <v>17</v>
      </c>
      <c r="AC6" s="301">
        <f>LARGE(AT6:AW8,3)</f>
        <v>17</v>
      </c>
      <c r="AD6" s="309"/>
      <c r="AE6" s="309">
        <f>AD6*1000+Y6*10+AA6*0.1+AB6*0.001+AC6*0.00001+C6*0.000001</f>
        <v>602.6171830000001</v>
      </c>
      <c r="AF6" s="309">
        <f>RANK(AE6,$AE$3:$AE$44,0)</f>
        <v>3</v>
      </c>
      <c r="AG6" s="309">
        <f>AT6+AU6+AV6+AW6+AX6</f>
        <v>60</v>
      </c>
      <c r="AH6" s="309">
        <f>VLOOKUP(A6,'5 тур'!$C$7:$BA$48,51,FALSE)</f>
        <v>0</v>
      </c>
      <c r="AI6" s="309">
        <f>LARGE(AT6:AX8,1)</f>
        <v>26</v>
      </c>
      <c r="AJ6" s="309">
        <f>LARGE(AT6:AX8,2)</f>
        <v>17</v>
      </c>
      <c r="AK6" s="309">
        <f>LARGE(AT6:AX8,3)</f>
        <v>17</v>
      </c>
      <c r="AL6" s="309"/>
      <c r="AM6" s="309"/>
      <c r="AN6" s="309"/>
      <c r="AO6" s="309"/>
      <c r="AP6" s="309"/>
      <c r="AQ6" s="309"/>
      <c r="AR6" s="309"/>
      <c r="AS6" s="309"/>
      <c r="AT6" s="301">
        <f>G6</f>
        <v>17</v>
      </c>
      <c r="AU6" s="301">
        <f>M6</f>
        <v>17</v>
      </c>
      <c r="AV6" s="301">
        <f>S6</f>
        <v>26</v>
      </c>
      <c r="AW6" s="301">
        <f>Z6</f>
        <v>0</v>
      </c>
      <c r="AX6" s="301">
        <f>AH6</f>
        <v>0</v>
      </c>
      <c r="AY6" s="301" t="str">
        <f>A6</f>
        <v>Новоселов Павел
СФДМ, Москва</v>
      </c>
      <c r="AZ6" s="311">
        <f>AT6+AU6+AV6+AW6+AX6-SMALL(AT6:AX8,1)</f>
        <v>60</v>
      </c>
      <c r="BA6" s="301">
        <f>AG6*10000+AI6*100+AJ6*10+AK6*0.1</f>
        <v>602771.7</v>
      </c>
      <c r="BB6" s="311">
        <f>RANK(BA6,$BA$3:$BA$44,0)</f>
        <v>3</v>
      </c>
      <c r="BC6" s="301">
        <f>AZ6+LARGE(AT6:AX8,1)*0.01+LARGE(AT6:AX8,2)*0.0001+LARGE(AT6:AX8,3)*0.000001+LARGE(AT6:AX8,4)*0.00000001+LARGE(AT6:AX8,5)*0.0000000001</f>
        <v>60.261717</v>
      </c>
      <c r="BD6" s="300">
        <f>RANK(BC6,$BC$3:$BC$44,0)</f>
        <v>3</v>
      </c>
    </row>
    <row r="7" spans="1:56" ht="9.75" customHeight="1" thickBot="1">
      <c r="A7" s="305"/>
      <c r="B7" s="305"/>
      <c r="C7" s="307"/>
      <c r="D7" s="309"/>
      <c r="E7" s="301"/>
      <c r="F7" s="301"/>
      <c r="G7" s="301"/>
      <c r="H7" s="301"/>
      <c r="I7" s="309"/>
      <c r="J7" s="301"/>
      <c r="K7" s="301"/>
      <c r="L7" s="301"/>
      <c r="M7" s="301"/>
      <c r="N7" s="301"/>
      <c r="O7" s="309"/>
      <c r="P7" s="301"/>
      <c r="Q7" s="301"/>
      <c r="R7" s="301"/>
      <c r="S7" s="301"/>
      <c r="T7" s="301"/>
      <c r="U7" s="301"/>
      <c r="V7" s="309"/>
      <c r="W7" s="301"/>
      <c r="X7" s="301"/>
      <c r="Y7" s="301"/>
      <c r="Z7" s="301"/>
      <c r="AA7" s="301"/>
      <c r="AB7" s="301"/>
      <c r="AC7" s="301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1"/>
      <c r="AU7" s="301"/>
      <c r="AV7" s="301"/>
      <c r="AW7" s="301"/>
      <c r="AX7" s="301"/>
      <c r="AY7" s="301"/>
      <c r="AZ7" s="311"/>
      <c r="BA7" s="301"/>
      <c r="BB7" s="311"/>
      <c r="BC7" s="301"/>
      <c r="BD7" s="300"/>
    </row>
    <row r="8" spans="1:56" ht="9.75" customHeight="1" thickBot="1">
      <c r="A8" s="305"/>
      <c r="B8" s="305"/>
      <c r="C8" s="307"/>
      <c r="D8" s="309"/>
      <c r="E8" s="301"/>
      <c r="F8" s="301"/>
      <c r="G8" s="301"/>
      <c r="H8" s="301"/>
      <c r="I8" s="309"/>
      <c r="J8" s="301"/>
      <c r="K8" s="301"/>
      <c r="L8" s="301"/>
      <c r="M8" s="301"/>
      <c r="N8" s="301"/>
      <c r="O8" s="309"/>
      <c r="P8" s="301"/>
      <c r="Q8" s="301"/>
      <c r="R8" s="301"/>
      <c r="S8" s="301"/>
      <c r="T8" s="301"/>
      <c r="U8" s="301"/>
      <c r="V8" s="309"/>
      <c r="W8" s="301"/>
      <c r="X8" s="301"/>
      <c r="Y8" s="301"/>
      <c r="Z8" s="301"/>
      <c r="AA8" s="301"/>
      <c r="AB8" s="301"/>
      <c r="AC8" s="301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1"/>
      <c r="AU8" s="301"/>
      <c r="AV8" s="301"/>
      <c r="AW8" s="301"/>
      <c r="AX8" s="301"/>
      <c r="AY8" s="301"/>
      <c r="AZ8" s="311"/>
      <c r="BA8" s="301"/>
      <c r="BB8" s="311"/>
      <c r="BC8" s="301"/>
      <c r="BD8" s="300"/>
    </row>
    <row r="9" spans="1:56" ht="9.75" customHeight="1" thickBot="1">
      <c r="A9" s="304" t="s">
        <v>56</v>
      </c>
      <c r="B9" s="304"/>
      <c r="C9" s="307">
        <v>12</v>
      </c>
      <c r="D9" s="309">
        <v>1</v>
      </c>
      <c r="E9" s="301">
        <f>D9*1000+C9</f>
        <v>1012</v>
      </c>
      <c r="F9" s="301">
        <f>RANK(E9,$E$3:$E$44,0)</f>
        <v>3</v>
      </c>
      <c r="G9" s="301">
        <f>VLOOKUP(A9,'1 тур'!$C$7:$BA$48,51,FALSE)</f>
        <v>5</v>
      </c>
      <c r="H9" s="301">
        <f>VLOOKUP(A9,'1 тур'!$C$7:$AZ$48,50,FALSE)</f>
        <v>13</v>
      </c>
      <c r="I9" s="309">
        <v>1</v>
      </c>
      <c r="J9" s="301">
        <f>I9*1000+G9*10+C9*0.01</f>
        <v>1050.12</v>
      </c>
      <c r="K9" s="301">
        <f>RANK(J9,$J$3:$J$44,0)</f>
        <v>11</v>
      </c>
      <c r="L9" s="301">
        <f>AT9+AU9</f>
        <v>12</v>
      </c>
      <c r="M9" s="301">
        <f>VLOOKUP(A9,'2 тур'!$C$7:$BA$48,51,FALSE)</f>
        <v>7</v>
      </c>
      <c r="N9" s="301">
        <f>LARGE(AT9:AU11,1)</f>
        <v>7</v>
      </c>
      <c r="O9" s="309">
        <v>1</v>
      </c>
      <c r="P9" s="301">
        <f>O9*1000+L9+N9*0.001+C9*0.00001</f>
        <v>1012.00712</v>
      </c>
      <c r="Q9" s="301">
        <f>RANK(P9,$P$3:$P$44)</f>
        <v>8</v>
      </c>
      <c r="R9" s="301">
        <f>AT9+AU9+AV9</f>
        <v>20</v>
      </c>
      <c r="S9" s="301">
        <f>VLOOKUP(A9,'3 тур'!$C$7:$BA$48,51,FALSE)</f>
        <v>8</v>
      </c>
      <c r="T9" s="301">
        <f>LARGE(AT9:AV11,1)</f>
        <v>8</v>
      </c>
      <c r="U9" s="301">
        <f>LARGE(AT9:AV11,2)</f>
        <v>7</v>
      </c>
      <c r="V9" s="309"/>
      <c r="W9" s="301">
        <f>V9*1000+R9*10+T9*0.01+U9*0.0001+C9*0.00001</f>
        <v>200.08082000000002</v>
      </c>
      <c r="X9" s="301">
        <f>RANK(W9,$W$3:$W$44,0)</f>
        <v>11</v>
      </c>
      <c r="Y9" s="301">
        <f>AT9+AU9+AV9+AW9</f>
        <v>20</v>
      </c>
      <c r="Z9" s="301">
        <f>VLOOKUP(A9,'4 тур'!$C$7:$BA$48,51,FALSE)</f>
        <v>0</v>
      </c>
      <c r="AA9" s="301">
        <f>LARGE(AT9:AW11,1)</f>
        <v>8</v>
      </c>
      <c r="AB9" s="301">
        <f>LARGE(AT9:AW11,2)</f>
        <v>7</v>
      </c>
      <c r="AC9" s="301">
        <f>LARGE(AT9:AW11,3)</f>
        <v>5</v>
      </c>
      <c r="AD9" s="309"/>
      <c r="AE9" s="309">
        <f>AD9*1000+Y9*10+AA9*0.1+AB9*0.001+AC9*0.00001+C9*0.000001</f>
        <v>200.807062</v>
      </c>
      <c r="AF9" s="309">
        <f>RANK(AE9,$AE$3:$AE$44,0)</f>
        <v>11</v>
      </c>
      <c r="AG9" s="309">
        <f>AT9+AU9+AV9+AW9+AX9</f>
        <v>20</v>
      </c>
      <c r="AH9" s="309">
        <f>VLOOKUP(A9,'5 тур'!$C$7:$BA$48,51,FALSE)</f>
        <v>0</v>
      </c>
      <c r="AI9" s="309">
        <f>LARGE(AT9:AX11,1)</f>
        <v>8</v>
      </c>
      <c r="AJ9" s="309">
        <f>LARGE(AT9:AX11,2)</f>
        <v>7</v>
      </c>
      <c r="AK9" s="309">
        <f>LARGE(AT9:AX11,3)</f>
        <v>5</v>
      </c>
      <c r="AL9" s="309"/>
      <c r="AM9" s="309"/>
      <c r="AN9" s="309"/>
      <c r="AO9" s="309"/>
      <c r="AP9" s="309"/>
      <c r="AQ9" s="309"/>
      <c r="AR9" s="309"/>
      <c r="AS9" s="309"/>
      <c r="AT9" s="301">
        <f>G9</f>
        <v>5</v>
      </c>
      <c r="AU9" s="301">
        <f>M9</f>
        <v>7</v>
      </c>
      <c r="AV9" s="301">
        <f>S9</f>
        <v>8</v>
      </c>
      <c r="AW9" s="301">
        <f>Z9</f>
        <v>0</v>
      </c>
      <c r="AX9" s="301">
        <f>AH9</f>
        <v>0</v>
      </c>
      <c r="AY9" s="301" t="str">
        <f>A9</f>
        <v>Клочек Ксения
СФДМ, Москва</v>
      </c>
      <c r="AZ9" s="311">
        <f>AT9+AU9+AV9+AW9+AX9-SMALL(AT9:AX11,1)</f>
        <v>20</v>
      </c>
      <c r="BA9" s="301">
        <f>AG9*10000+AI9*100+AJ9*10+AK9*0.1</f>
        <v>200870.5</v>
      </c>
      <c r="BB9" s="311">
        <f>RANK(BA9,$BA$3:$BA$44,0)</f>
        <v>11</v>
      </c>
      <c r="BC9" s="301">
        <f>AZ9+LARGE(AT9:AX11,1)*0.01+LARGE(AT9:AX11,2)*0.0001+LARGE(AT9:AX11,3)*0.000001+LARGE(AT9:AX11,4)*0.00000001+LARGE(AT9:AX11,5)*0.0000000001</f>
        <v>20.080705</v>
      </c>
      <c r="BD9" s="300">
        <f>RANK(BC9,$BC$3:$BC$44,0)</f>
        <v>11</v>
      </c>
    </row>
    <row r="10" spans="1:56" ht="9.75" customHeight="1" thickBot="1">
      <c r="A10" s="305"/>
      <c r="B10" s="305"/>
      <c r="C10" s="307"/>
      <c r="D10" s="309"/>
      <c r="E10" s="301"/>
      <c r="F10" s="301"/>
      <c r="G10" s="301"/>
      <c r="H10" s="301"/>
      <c r="I10" s="309"/>
      <c r="J10" s="301"/>
      <c r="K10" s="301"/>
      <c r="L10" s="301"/>
      <c r="M10" s="301"/>
      <c r="N10" s="301"/>
      <c r="O10" s="309"/>
      <c r="P10" s="301"/>
      <c r="Q10" s="301"/>
      <c r="R10" s="301"/>
      <c r="S10" s="301"/>
      <c r="T10" s="301"/>
      <c r="U10" s="301"/>
      <c r="V10" s="309"/>
      <c r="W10" s="301"/>
      <c r="X10" s="301"/>
      <c r="Y10" s="301"/>
      <c r="Z10" s="301"/>
      <c r="AA10" s="301"/>
      <c r="AB10" s="301"/>
      <c r="AC10" s="301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1"/>
      <c r="AU10" s="301"/>
      <c r="AV10" s="301"/>
      <c r="AW10" s="301"/>
      <c r="AX10" s="301"/>
      <c r="AY10" s="301"/>
      <c r="AZ10" s="311"/>
      <c r="BA10" s="301"/>
      <c r="BB10" s="311"/>
      <c r="BC10" s="301"/>
      <c r="BD10" s="300"/>
    </row>
    <row r="11" spans="1:56" ht="9.75" customHeight="1" thickBot="1">
      <c r="A11" s="305"/>
      <c r="B11" s="305"/>
      <c r="C11" s="307"/>
      <c r="D11" s="309"/>
      <c r="E11" s="301"/>
      <c r="F11" s="301"/>
      <c r="G11" s="301"/>
      <c r="H11" s="301"/>
      <c r="I11" s="309"/>
      <c r="J11" s="301"/>
      <c r="K11" s="301"/>
      <c r="L11" s="301"/>
      <c r="M11" s="301"/>
      <c r="N11" s="301"/>
      <c r="O11" s="309"/>
      <c r="P11" s="301"/>
      <c r="Q11" s="301"/>
      <c r="R11" s="301"/>
      <c r="S11" s="301"/>
      <c r="T11" s="301"/>
      <c r="U11" s="301"/>
      <c r="V11" s="309"/>
      <c r="W11" s="301"/>
      <c r="X11" s="301"/>
      <c r="Y11" s="301"/>
      <c r="Z11" s="301"/>
      <c r="AA11" s="301"/>
      <c r="AB11" s="301"/>
      <c r="AC11" s="301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1"/>
      <c r="AU11" s="301"/>
      <c r="AV11" s="301"/>
      <c r="AW11" s="301"/>
      <c r="AX11" s="301"/>
      <c r="AY11" s="301"/>
      <c r="AZ11" s="311"/>
      <c r="BA11" s="301"/>
      <c r="BB11" s="311"/>
      <c r="BC11" s="301"/>
      <c r="BD11" s="300"/>
    </row>
    <row r="12" spans="1:56" ht="9.75" customHeight="1" thickBot="1">
      <c r="A12" s="304" t="s">
        <v>58</v>
      </c>
      <c r="B12" s="304"/>
      <c r="C12" s="307">
        <v>11</v>
      </c>
      <c r="D12" s="309">
        <v>1</v>
      </c>
      <c r="E12" s="301">
        <f>D12*1000+C12</f>
        <v>1011</v>
      </c>
      <c r="F12" s="301">
        <f>RANK(E12,$E$3:$E$44,0)</f>
        <v>4</v>
      </c>
      <c r="G12" s="301">
        <f>VLOOKUP(A12,'1 тур'!$C$7:$BA$48,51,FALSE)</f>
        <v>6</v>
      </c>
      <c r="H12" s="301">
        <f>VLOOKUP(A12,'1 тур'!$C$7:$AZ$48,50,FALSE)</f>
        <v>12</v>
      </c>
      <c r="I12" s="309">
        <v>1</v>
      </c>
      <c r="J12" s="301">
        <f>I12*1000+G12*10+C12*0.01</f>
        <v>1060.11</v>
      </c>
      <c r="K12" s="301">
        <f>RANK(J12,$J$3:$J$44,0)</f>
        <v>10</v>
      </c>
      <c r="L12" s="301">
        <f>AT12+AU12</f>
        <v>14</v>
      </c>
      <c r="M12" s="301">
        <f>VLOOKUP(A12,'2 тур'!$C$7:$BA$48,51,FALSE)</f>
        <v>8</v>
      </c>
      <c r="N12" s="301">
        <f>LARGE(AT12:AU14,1)</f>
        <v>8</v>
      </c>
      <c r="O12" s="309">
        <v>1</v>
      </c>
      <c r="P12" s="301">
        <f>O12*1000+L12+N12*0.001+C12*0.00001</f>
        <v>1014.00811</v>
      </c>
      <c r="Q12" s="301">
        <f>RANK(P12,$P$3:$P$44)</f>
        <v>7</v>
      </c>
      <c r="R12" s="301">
        <f>AT12+AU12+AV12</f>
        <v>23</v>
      </c>
      <c r="S12" s="301">
        <f>VLOOKUP(A12,'3 тур'!$C$7:$BA$48,51,FALSE)</f>
        <v>9</v>
      </c>
      <c r="T12" s="301">
        <f>LARGE(AT12:AV14,1)</f>
        <v>9</v>
      </c>
      <c r="U12" s="301">
        <f>LARGE(AT12:AV14,2)</f>
        <v>8</v>
      </c>
      <c r="V12" s="309"/>
      <c r="W12" s="301">
        <f>V12*1000+R12*10+T12*0.01+U12*0.0001+C12*0.00001</f>
        <v>230.09091</v>
      </c>
      <c r="X12" s="301">
        <f>RANK(W12,$W$3:$W$44,0)</f>
        <v>10</v>
      </c>
      <c r="Y12" s="301">
        <f>AT12+AU12+AV12+AW12</f>
        <v>23</v>
      </c>
      <c r="Z12" s="301">
        <f>VLOOKUP(A12,'4 тур'!$C$7:$BA$48,51,FALSE)</f>
        <v>0</v>
      </c>
      <c r="AA12" s="301">
        <f>LARGE(AT12:AW14,1)</f>
        <v>9</v>
      </c>
      <c r="AB12" s="301">
        <f>LARGE(AT12:AW14,2)</f>
        <v>8</v>
      </c>
      <c r="AC12" s="301">
        <f>LARGE(AT12:AW14,3)</f>
        <v>6</v>
      </c>
      <c r="AD12" s="309"/>
      <c r="AE12" s="309">
        <f>AD12*1000+Y12*10+AA12*0.1+AB12*0.001+AC12*0.00001+C12*0.000001</f>
        <v>230.908071</v>
      </c>
      <c r="AF12" s="309">
        <f>RANK(AE12,$AE$3:$AE$44,0)</f>
        <v>10</v>
      </c>
      <c r="AG12" s="309">
        <f>AT12+AU12+AV12+AW12+AX12</f>
        <v>23</v>
      </c>
      <c r="AH12" s="309">
        <f>VLOOKUP(A12,'5 тур'!$C$7:$BA$48,51,FALSE)</f>
        <v>0</v>
      </c>
      <c r="AI12" s="309">
        <f>LARGE(AT12:AX14,1)</f>
        <v>9</v>
      </c>
      <c r="AJ12" s="309">
        <f>LARGE(AT12:AX14,2)</f>
        <v>8</v>
      </c>
      <c r="AK12" s="309">
        <f>LARGE(AT12:AX14,3)</f>
        <v>6</v>
      </c>
      <c r="AL12" s="309"/>
      <c r="AM12" s="309"/>
      <c r="AN12" s="309"/>
      <c r="AO12" s="309"/>
      <c r="AP12" s="309"/>
      <c r="AQ12" s="309"/>
      <c r="AR12" s="309"/>
      <c r="AS12" s="309"/>
      <c r="AT12" s="301">
        <f>G12</f>
        <v>6</v>
      </c>
      <c r="AU12" s="301">
        <f>M12</f>
        <v>8</v>
      </c>
      <c r="AV12" s="301">
        <f>S12</f>
        <v>9</v>
      </c>
      <c r="AW12" s="301">
        <f>Z12</f>
        <v>0</v>
      </c>
      <c r="AX12" s="301">
        <f>AH12</f>
        <v>0</v>
      </c>
      <c r="AY12" s="301" t="str">
        <f>A12</f>
        <v>Конюхов Александр
СФДМ, Москва</v>
      </c>
      <c r="AZ12" s="311">
        <f>AT12+AU12+AV12+AW12+AX12-SMALL(AT12:AX14,1)</f>
        <v>23</v>
      </c>
      <c r="BA12" s="301">
        <f>AG12*10000+AI12*100+AJ12*10+AK12*0.1</f>
        <v>230980.6</v>
      </c>
      <c r="BB12" s="311">
        <f>RANK(BA12,$BA$3:$BA$44,0)</f>
        <v>10</v>
      </c>
      <c r="BC12" s="301">
        <f>AZ12+LARGE(AT12:AX14,1)*0.01+LARGE(AT12:AX14,2)*0.0001+LARGE(AT12:AX14,3)*0.000001+LARGE(AT12:AX14,4)*0.00000001+LARGE(AT12:AX14,5)*0.0000000001</f>
        <v>23.090806</v>
      </c>
      <c r="BD12" s="300">
        <f>RANK(BC12,$BC$3:$BC$44,0)</f>
        <v>10</v>
      </c>
    </row>
    <row r="13" spans="1:56" ht="9.75" customHeight="1" thickBot="1">
      <c r="A13" s="305"/>
      <c r="B13" s="305"/>
      <c r="C13" s="307"/>
      <c r="D13" s="309"/>
      <c r="E13" s="301"/>
      <c r="F13" s="301"/>
      <c r="G13" s="301"/>
      <c r="H13" s="301"/>
      <c r="I13" s="309"/>
      <c r="J13" s="301"/>
      <c r="K13" s="301"/>
      <c r="L13" s="301"/>
      <c r="M13" s="301"/>
      <c r="N13" s="301"/>
      <c r="O13" s="309"/>
      <c r="P13" s="301"/>
      <c r="Q13" s="301"/>
      <c r="R13" s="301"/>
      <c r="S13" s="301"/>
      <c r="T13" s="301"/>
      <c r="U13" s="301"/>
      <c r="V13" s="309"/>
      <c r="W13" s="301"/>
      <c r="X13" s="301"/>
      <c r="Y13" s="301"/>
      <c r="Z13" s="301"/>
      <c r="AA13" s="301"/>
      <c r="AB13" s="301"/>
      <c r="AC13" s="301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1"/>
      <c r="AU13" s="301"/>
      <c r="AV13" s="301"/>
      <c r="AW13" s="301"/>
      <c r="AX13" s="301"/>
      <c r="AY13" s="301"/>
      <c r="AZ13" s="311"/>
      <c r="BA13" s="301"/>
      <c r="BB13" s="311"/>
      <c r="BC13" s="301"/>
      <c r="BD13" s="300"/>
    </row>
    <row r="14" spans="1:56" ht="27" customHeight="1" thickBot="1">
      <c r="A14" s="305"/>
      <c r="B14" s="305"/>
      <c r="C14" s="307"/>
      <c r="D14" s="309"/>
      <c r="E14" s="301"/>
      <c r="F14" s="301"/>
      <c r="G14" s="301"/>
      <c r="H14" s="301"/>
      <c r="I14" s="309"/>
      <c r="J14" s="301"/>
      <c r="K14" s="301"/>
      <c r="L14" s="301"/>
      <c r="M14" s="301"/>
      <c r="N14" s="301"/>
      <c r="O14" s="309"/>
      <c r="P14" s="301"/>
      <c r="Q14" s="301"/>
      <c r="R14" s="301"/>
      <c r="S14" s="301"/>
      <c r="T14" s="301"/>
      <c r="U14" s="301"/>
      <c r="V14" s="309"/>
      <c r="W14" s="301"/>
      <c r="X14" s="301"/>
      <c r="Y14" s="301"/>
      <c r="Z14" s="301"/>
      <c r="AA14" s="301"/>
      <c r="AB14" s="301"/>
      <c r="AC14" s="301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1"/>
      <c r="AU14" s="301"/>
      <c r="AV14" s="301"/>
      <c r="AW14" s="301"/>
      <c r="AX14" s="301"/>
      <c r="AY14" s="301"/>
      <c r="AZ14" s="311"/>
      <c r="BA14" s="301"/>
      <c r="BB14" s="311"/>
      <c r="BC14" s="301"/>
      <c r="BD14" s="300"/>
    </row>
    <row r="15" spans="1:56" ht="9.75" customHeight="1" thickBot="1">
      <c r="A15" s="304" t="s">
        <v>59</v>
      </c>
      <c r="B15" s="304"/>
      <c r="C15" s="307">
        <v>10</v>
      </c>
      <c r="D15" s="309">
        <v>1</v>
      </c>
      <c r="E15" s="301">
        <f>D15*1000+C15</f>
        <v>1010</v>
      </c>
      <c r="F15" s="301">
        <f>RANK(E15,$E$3:$E$44,0)</f>
        <v>5</v>
      </c>
      <c r="G15" s="301">
        <f>VLOOKUP(A15,'1 тур'!$C$7:$BA$48,51,FALSE)</f>
        <v>20</v>
      </c>
      <c r="H15" s="301">
        <f>VLOOKUP(A15,'1 тур'!$C$7:$AZ$48,50,FALSE)</f>
        <v>4</v>
      </c>
      <c r="I15" s="309">
        <v>1</v>
      </c>
      <c r="J15" s="301">
        <f>I15*1000+G15*10+C15*0.01</f>
        <v>1200.1</v>
      </c>
      <c r="K15" s="301">
        <f>RANK(J15,$J$3:$J$44,0)</f>
        <v>4</v>
      </c>
      <c r="L15" s="301">
        <f>AT15+AU15</f>
        <v>35</v>
      </c>
      <c r="M15" s="301">
        <f>VLOOKUP(A15,'2 тур'!$C$7:$BA$48,51,FALSE)</f>
        <v>15</v>
      </c>
      <c r="N15" s="301">
        <f>LARGE(AT15:AU17,1)</f>
        <v>20</v>
      </c>
      <c r="O15" s="309">
        <v>1</v>
      </c>
      <c r="P15" s="301">
        <f>O15*1000+L15+N15*0.001+C15*0.00001</f>
        <v>1035.0201</v>
      </c>
      <c r="Q15" s="301">
        <f>RANK(P15,$P$3:$P$44)</f>
        <v>3</v>
      </c>
      <c r="R15" s="301">
        <f>AT15+AU15+AV15</f>
        <v>55</v>
      </c>
      <c r="S15" s="301">
        <f>VLOOKUP(A15,'3 тур'!$C$7:$BA$48,51,FALSE)</f>
        <v>20</v>
      </c>
      <c r="T15" s="301">
        <f>LARGE(AT15:AV17,1)</f>
        <v>20</v>
      </c>
      <c r="U15" s="301">
        <f>LARGE(AT15:AV17,2)</f>
        <v>20</v>
      </c>
      <c r="V15" s="309"/>
      <c r="W15" s="301">
        <f>V15*1000+R15*10+T15*0.01+U15*0.0001+C15*0.00001</f>
        <v>550.2021</v>
      </c>
      <c r="X15" s="301">
        <f>RANK(W15,$W$3:$W$44,0)</f>
        <v>5</v>
      </c>
      <c r="Y15" s="301">
        <f>AT15+AU15+AV15+AW15</f>
        <v>55</v>
      </c>
      <c r="Z15" s="301">
        <f>VLOOKUP(A15,'4 тур'!$C$7:$BA$48,51,FALSE)</f>
        <v>0</v>
      </c>
      <c r="AA15" s="301">
        <f>LARGE(AT15:AW17,1)</f>
        <v>20</v>
      </c>
      <c r="AB15" s="301">
        <f>LARGE(AT15:AW17,2)</f>
        <v>20</v>
      </c>
      <c r="AC15" s="301">
        <f>LARGE(AT15:AW17,3)</f>
        <v>15</v>
      </c>
      <c r="AD15" s="309"/>
      <c r="AE15" s="309">
        <f>AD15*1000+Y15*10+AA15*0.1+AB15*0.001+AC15*0.00001+C15*0.000001</f>
        <v>552.0201599999999</v>
      </c>
      <c r="AF15" s="309">
        <f>RANK(AE15,$AE$3:$AE$44,0)</f>
        <v>5</v>
      </c>
      <c r="AG15" s="309">
        <f>AT15+AU15+AV15+AW15+AX15</f>
        <v>55</v>
      </c>
      <c r="AH15" s="309">
        <f>VLOOKUP(A15,'5 тур'!$C$7:$BA$48,51,FALSE)</f>
        <v>0</v>
      </c>
      <c r="AI15" s="309">
        <f>LARGE(AT15:AX17,1)</f>
        <v>20</v>
      </c>
      <c r="AJ15" s="309">
        <f>LARGE(AT15:AX17,2)</f>
        <v>20</v>
      </c>
      <c r="AK15" s="309">
        <f>LARGE(AT15:AX17,3)</f>
        <v>15</v>
      </c>
      <c r="AL15" s="309"/>
      <c r="AM15" s="309"/>
      <c r="AN15" s="309"/>
      <c r="AO15" s="309"/>
      <c r="AP15" s="309"/>
      <c r="AQ15" s="309"/>
      <c r="AR15" s="309"/>
      <c r="AS15" s="309"/>
      <c r="AT15" s="301">
        <f>G15</f>
        <v>20</v>
      </c>
      <c r="AU15" s="301">
        <f>M15</f>
        <v>15</v>
      </c>
      <c r="AV15" s="301">
        <f>S15</f>
        <v>20</v>
      </c>
      <c r="AW15" s="301">
        <f>Z15</f>
        <v>0</v>
      </c>
      <c r="AX15" s="301">
        <f>AH15</f>
        <v>0</v>
      </c>
      <c r="AY15" s="301" t="str">
        <f>A15</f>
        <v>Хроменко Олег
СФДМ, Москва</v>
      </c>
      <c r="AZ15" s="311">
        <f>AT15+AU15+AV15+AW15+AX15-SMALL(AT15:AX17,1)</f>
        <v>55</v>
      </c>
      <c r="BA15" s="301">
        <f>AG15*10000+AI15*100+AJ15*10+AK15*0.1</f>
        <v>552201.5</v>
      </c>
      <c r="BB15" s="311">
        <f>RANK(BA15,$BA$3:$BA$44,0)</f>
        <v>5</v>
      </c>
      <c r="BC15" s="301">
        <f>AZ15+LARGE(AT15:AX17,1)*0.01+LARGE(AT15:AX17,2)*0.0001+LARGE(AT15:AX17,3)*0.000001+LARGE(AT15:AX17,4)*0.00000001+LARGE(AT15:AX17,5)*0.0000000001</f>
        <v>55.202015</v>
      </c>
      <c r="BD15" s="300">
        <f>RANK(BC15,$BC$3:$BC$44,0)</f>
        <v>5</v>
      </c>
    </row>
    <row r="16" spans="1:56" ht="9.75" customHeight="1" thickBot="1">
      <c r="A16" s="305"/>
      <c r="B16" s="305"/>
      <c r="C16" s="307"/>
      <c r="D16" s="309"/>
      <c r="E16" s="301"/>
      <c r="F16" s="301"/>
      <c r="G16" s="301"/>
      <c r="H16" s="301"/>
      <c r="I16" s="309"/>
      <c r="J16" s="301"/>
      <c r="K16" s="301"/>
      <c r="L16" s="301"/>
      <c r="M16" s="301"/>
      <c r="N16" s="301"/>
      <c r="O16" s="309"/>
      <c r="P16" s="301"/>
      <c r="Q16" s="301"/>
      <c r="R16" s="301"/>
      <c r="S16" s="301"/>
      <c r="T16" s="301"/>
      <c r="U16" s="301"/>
      <c r="V16" s="309"/>
      <c r="W16" s="301"/>
      <c r="X16" s="301"/>
      <c r="Y16" s="301"/>
      <c r="Z16" s="301"/>
      <c r="AA16" s="301"/>
      <c r="AB16" s="301"/>
      <c r="AC16" s="301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1"/>
      <c r="AU16" s="301"/>
      <c r="AV16" s="301"/>
      <c r="AW16" s="301"/>
      <c r="AX16" s="301"/>
      <c r="AY16" s="301"/>
      <c r="AZ16" s="311"/>
      <c r="BA16" s="301"/>
      <c r="BB16" s="311"/>
      <c r="BC16" s="301"/>
      <c r="BD16" s="300"/>
    </row>
    <row r="17" spans="1:56" ht="9.75" customHeight="1" thickBot="1">
      <c r="A17" s="305"/>
      <c r="B17" s="305"/>
      <c r="C17" s="307"/>
      <c r="D17" s="309"/>
      <c r="E17" s="301"/>
      <c r="F17" s="301"/>
      <c r="G17" s="301"/>
      <c r="H17" s="301"/>
      <c r="I17" s="309"/>
      <c r="J17" s="301"/>
      <c r="K17" s="301"/>
      <c r="L17" s="301"/>
      <c r="M17" s="301"/>
      <c r="N17" s="301"/>
      <c r="O17" s="309"/>
      <c r="P17" s="301"/>
      <c r="Q17" s="301"/>
      <c r="R17" s="301"/>
      <c r="S17" s="301"/>
      <c r="T17" s="301"/>
      <c r="U17" s="301"/>
      <c r="V17" s="309"/>
      <c r="W17" s="301"/>
      <c r="X17" s="301"/>
      <c r="Y17" s="301"/>
      <c r="Z17" s="301"/>
      <c r="AA17" s="301"/>
      <c r="AB17" s="301"/>
      <c r="AC17" s="301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1"/>
      <c r="AU17" s="301"/>
      <c r="AV17" s="301"/>
      <c r="AW17" s="301"/>
      <c r="AX17" s="301"/>
      <c r="AY17" s="301"/>
      <c r="AZ17" s="311"/>
      <c r="BA17" s="301"/>
      <c r="BB17" s="311"/>
      <c r="BC17" s="301"/>
      <c r="BD17" s="300"/>
    </row>
    <row r="18" spans="1:56" ht="9.75" customHeight="1" thickBot="1">
      <c r="A18" s="304" t="s">
        <v>60</v>
      </c>
      <c r="B18" s="304"/>
      <c r="C18" s="307">
        <v>9</v>
      </c>
      <c r="D18" s="309">
        <v>1</v>
      </c>
      <c r="E18" s="301">
        <f>D18*1000+C18</f>
        <v>1009</v>
      </c>
      <c r="F18" s="301">
        <f>RANK(E18,$E$3:$E$44,0)</f>
        <v>6</v>
      </c>
      <c r="G18" s="301">
        <f>VLOOKUP(A18,'1 тур'!$C$7:$BA$48,51,FALSE)</f>
        <v>13</v>
      </c>
      <c r="H18" s="301">
        <f>VLOOKUP(A18,'1 тур'!$C$7:$AZ$48,50,FALSE)</f>
        <v>7</v>
      </c>
      <c r="I18" s="309">
        <v>1</v>
      </c>
      <c r="J18" s="301">
        <f>I18*1000+G18*10+C18*0.01</f>
        <v>1130.09</v>
      </c>
      <c r="K18" s="301">
        <f>RANK(J18,$J$3:$J$44,0)</f>
        <v>7</v>
      </c>
      <c r="L18" s="301">
        <f>AT18+AU18</f>
        <v>25</v>
      </c>
      <c r="M18" s="301">
        <f>VLOOKUP(A18,'2 тур'!$C$7:$BA$48,51,FALSE)</f>
        <v>12</v>
      </c>
      <c r="N18" s="301">
        <f>LARGE(AT18:AU20,1)</f>
        <v>13</v>
      </c>
      <c r="O18" s="309">
        <v>1</v>
      </c>
      <c r="P18" s="301">
        <f>O18*1000+L18+N18*0.001+C18*0.00001</f>
        <v>1025.01309</v>
      </c>
      <c r="Q18" s="301">
        <f>RANK(P18,$P$3:$P$44)</f>
        <v>5</v>
      </c>
      <c r="R18" s="301">
        <f>AT18+AU18+AV18</f>
        <v>42</v>
      </c>
      <c r="S18" s="301">
        <f>VLOOKUP(A18,'3 тур'!$C$7:$BA$48,51,FALSE)</f>
        <v>17</v>
      </c>
      <c r="T18" s="301">
        <f>LARGE(AT18:AV20,1)</f>
        <v>17</v>
      </c>
      <c r="U18" s="301">
        <f>LARGE(AT18:AV20,2)</f>
        <v>13</v>
      </c>
      <c r="V18" s="309"/>
      <c r="W18" s="301">
        <f>V18*1000+R18*10+T18*0.01+U18*0.0001+C18*0.00001</f>
        <v>420.17139000000003</v>
      </c>
      <c r="X18" s="301">
        <f>RANK(W18,$W$3:$W$44,0)</f>
        <v>6</v>
      </c>
      <c r="Y18" s="301">
        <f>AT18+AU18+AV18+AW18</f>
        <v>42</v>
      </c>
      <c r="Z18" s="301">
        <f>VLOOKUP(A18,'4 тур'!$C$7:$BA$48,51,FALSE)</f>
        <v>0</v>
      </c>
      <c r="AA18" s="301">
        <f>LARGE(AT18:AW20,1)</f>
        <v>17</v>
      </c>
      <c r="AB18" s="301">
        <f>LARGE(AT18:AW20,2)</f>
        <v>13</v>
      </c>
      <c r="AC18" s="301">
        <f>LARGE(AT18:AW20,3)</f>
        <v>12</v>
      </c>
      <c r="AD18" s="309"/>
      <c r="AE18" s="309">
        <f>AD18*1000+Y18*10+AA18*0.1+AB18*0.001+AC18*0.00001+C18*0.000001</f>
        <v>421.7131289999999</v>
      </c>
      <c r="AF18" s="309">
        <f>RANK(AE18,$AE$3:$AE$44,0)</f>
        <v>6</v>
      </c>
      <c r="AG18" s="309">
        <f>AT18+AU18+AV18+AW18+AX18</f>
        <v>42</v>
      </c>
      <c r="AH18" s="309">
        <f>VLOOKUP(A18,'5 тур'!$C$7:$BA$48,51,FALSE)</f>
        <v>0</v>
      </c>
      <c r="AI18" s="309">
        <f>LARGE(AT18:AX20,1)</f>
        <v>17</v>
      </c>
      <c r="AJ18" s="309">
        <f>LARGE(AT18:AX20,2)</f>
        <v>13</v>
      </c>
      <c r="AK18" s="309">
        <f>LARGE(AT18:AX20,3)</f>
        <v>12</v>
      </c>
      <c r="AL18" s="309"/>
      <c r="AM18" s="309"/>
      <c r="AN18" s="309"/>
      <c r="AO18" s="309"/>
      <c r="AP18" s="309"/>
      <c r="AQ18" s="309"/>
      <c r="AR18" s="309"/>
      <c r="AS18" s="309"/>
      <c r="AT18" s="301">
        <f>G18</f>
        <v>13</v>
      </c>
      <c r="AU18" s="301">
        <f>M18</f>
        <v>12</v>
      </c>
      <c r="AV18" s="301">
        <f>S18</f>
        <v>17</v>
      </c>
      <c r="AW18" s="301">
        <f>Z18</f>
        <v>0</v>
      </c>
      <c r="AX18" s="301">
        <f>AH18</f>
        <v>0</v>
      </c>
      <c r="AY18" s="301" t="str">
        <f>A18</f>
        <v>Дераков Евгений
СФДМ, Москва</v>
      </c>
      <c r="AZ18" s="311">
        <f>AT18+AU18+AV18+AW18+AX18-SMALL(AT18:AX20,1)</f>
        <v>42</v>
      </c>
      <c r="BA18" s="301">
        <f>AG18*10000+AI18*100+AJ18*10+AK18*0.1</f>
        <v>421831.2</v>
      </c>
      <c r="BB18" s="311">
        <f>RANK(BA18,$BA$3:$BA$44,0)</f>
        <v>6</v>
      </c>
      <c r="BC18" s="301">
        <f>AZ18+LARGE(AT18:AX20,1)*0.01+LARGE(AT18:AX20,2)*0.0001+LARGE(AT18:AX20,3)*0.000001+LARGE(AT18:AX20,4)*0.00000001+LARGE(AT18:AX20,5)*0.0000000001</f>
        <v>42.171312</v>
      </c>
      <c r="BD18" s="300">
        <f>RANK(BC18,$BC$3:$BC$44,0)</f>
        <v>6</v>
      </c>
    </row>
    <row r="19" spans="1:56" ht="9.75" customHeight="1" thickBot="1">
      <c r="A19" s="305"/>
      <c r="B19" s="305"/>
      <c r="C19" s="307"/>
      <c r="D19" s="309"/>
      <c r="E19" s="301"/>
      <c r="F19" s="301"/>
      <c r="G19" s="301"/>
      <c r="H19" s="301"/>
      <c r="I19" s="309"/>
      <c r="J19" s="301"/>
      <c r="K19" s="301"/>
      <c r="L19" s="301"/>
      <c r="M19" s="301"/>
      <c r="N19" s="301"/>
      <c r="O19" s="309"/>
      <c r="P19" s="301"/>
      <c r="Q19" s="301"/>
      <c r="R19" s="301"/>
      <c r="S19" s="301"/>
      <c r="T19" s="301"/>
      <c r="U19" s="301"/>
      <c r="V19" s="309"/>
      <c r="W19" s="301"/>
      <c r="X19" s="301"/>
      <c r="Y19" s="301"/>
      <c r="Z19" s="301"/>
      <c r="AA19" s="301"/>
      <c r="AB19" s="301"/>
      <c r="AC19" s="301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1"/>
      <c r="AU19" s="301"/>
      <c r="AV19" s="301"/>
      <c r="AW19" s="301"/>
      <c r="AX19" s="301"/>
      <c r="AY19" s="301"/>
      <c r="AZ19" s="311"/>
      <c r="BA19" s="301"/>
      <c r="BB19" s="311"/>
      <c r="BC19" s="301"/>
      <c r="BD19" s="300"/>
    </row>
    <row r="20" spans="1:56" ht="9.75" customHeight="1" thickBot="1">
      <c r="A20" s="305"/>
      <c r="B20" s="305"/>
      <c r="C20" s="307"/>
      <c r="D20" s="309"/>
      <c r="E20" s="301"/>
      <c r="F20" s="301"/>
      <c r="G20" s="301"/>
      <c r="H20" s="301"/>
      <c r="I20" s="309"/>
      <c r="J20" s="301"/>
      <c r="K20" s="301"/>
      <c r="L20" s="301"/>
      <c r="M20" s="301"/>
      <c r="N20" s="301"/>
      <c r="O20" s="309"/>
      <c r="P20" s="301"/>
      <c r="Q20" s="301"/>
      <c r="R20" s="301"/>
      <c r="S20" s="301"/>
      <c r="T20" s="301"/>
      <c r="U20" s="301"/>
      <c r="V20" s="309"/>
      <c r="W20" s="301"/>
      <c r="X20" s="301"/>
      <c r="Y20" s="301"/>
      <c r="Z20" s="301"/>
      <c r="AA20" s="301"/>
      <c r="AB20" s="301"/>
      <c r="AC20" s="301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1"/>
      <c r="AU20" s="301"/>
      <c r="AV20" s="301"/>
      <c r="AW20" s="301"/>
      <c r="AX20" s="301"/>
      <c r="AY20" s="301"/>
      <c r="AZ20" s="311"/>
      <c r="BA20" s="301"/>
      <c r="BB20" s="311"/>
      <c r="BC20" s="301"/>
      <c r="BD20" s="300"/>
    </row>
    <row r="21" spans="1:56" ht="9.75" customHeight="1" thickBot="1">
      <c r="A21" s="304" t="s">
        <v>61</v>
      </c>
      <c r="B21" s="304"/>
      <c r="C21" s="307">
        <v>8</v>
      </c>
      <c r="D21" s="309">
        <v>1</v>
      </c>
      <c r="E21" s="301">
        <f>D21*1000+C21</f>
        <v>1008</v>
      </c>
      <c r="F21" s="301">
        <f>RANK(E21,$E$3:$E$44,0)</f>
        <v>7</v>
      </c>
      <c r="G21" s="301">
        <f>VLOOKUP(A21,'1 тур'!$C$7:$BA$48,51,FALSE)</f>
        <v>15</v>
      </c>
      <c r="H21" s="301">
        <f>VLOOKUP(A21,'1 тур'!$C$7:$AZ$48,50,FALSE)</f>
        <v>6</v>
      </c>
      <c r="I21" s="309">
        <v>1</v>
      </c>
      <c r="J21" s="301">
        <f>I21*1000+G21*10+C21*0.01</f>
        <v>1150.08</v>
      </c>
      <c r="K21" s="301">
        <f>RANK(J21,$J$3:$J$44,0)</f>
        <v>6</v>
      </c>
      <c r="L21" s="301">
        <f>AT21+AU21</f>
        <v>28</v>
      </c>
      <c r="M21" s="301">
        <f>VLOOKUP(A21,'2 тур'!$C$7:$BA$48,51,FALSE)</f>
        <v>13</v>
      </c>
      <c r="N21" s="301">
        <f>LARGE(AT21:AU23,1)</f>
        <v>15</v>
      </c>
      <c r="O21" s="309"/>
      <c r="P21" s="301">
        <f>O21*1000+L21+N21*0.001+C21*0.00001</f>
        <v>28.01508</v>
      </c>
      <c r="Q21" s="301">
        <f>RANK(P21,$P$3:$P$44)</f>
        <v>13</v>
      </c>
      <c r="R21" s="301">
        <f>AT21+AU21+AV21</f>
        <v>28</v>
      </c>
      <c r="S21" s="301">
        <f>VLOOKUP(A21,'3 тур'!$C$7:$BA$48,51,FALSE)</f>
        <v>0</v>
      </c>
      <c r="T21" s="301">
        <f>LARGE(AT21:AV23,1)</f>
        <v>15</v>
      </c>
      <c r="U21" s="301">
        <f>LARGE(AT21:AV23,2)</f>
        <v>13</v>
      </c>
      <c r="V21" s="309"/>
      <c r="W21" s="301">
        <f>V21*1000+R21*10+T21*0.01+U21*0.0001+C21*0.00001</f>
        <v>280.15138</v>
      </c>
      <c r="X21" s="301">
        <f>RANK(W21,$W$3:$W$44,0)</f>
        <v>9</v>
      </c>
      <c r="Y21" s="301">
        <f>AT21+AU21+AV21+AW21</f>
        <v>28</v>
      </c>
      <c r="Z21" s="301">
        <f>VLOOKUP(A21,'4 тур'!$C$7:$BA$48,51,FALSE)</f>
        <v>0</v>
      </c>
      <c r="AA21" s="301">
        <f>LARGE(AT21:AW23,1)</f>
        <v>15</v>
      </c>
      <c r="AB21" s="301">
        <f>LARGE(AT21:AW23,2)</f>
        <v>13</v>
      </c>
      <c r="AC21" s="301">
        <f>LARGE(AT21:AW23,3)</f>
        <v>0</v>
      </c>
      <c r="AD21" s="309"/>
      <c r="AE21" s="309">
        <f>AD21*1000+Y21*10+AA21*0.1+AB21*0.001+AC21*0.00001+C21*0.000001</f>
        <v>281.51300799999996</v>
      </c>
      <c r="AF21" s="309">
        <f>RANK(AE21,$AE$3:$AE$44,0)</f>
        <v>9</v>
      </c>
      <c r="AG21" s="309">
        <f>AT21+AU21+AV21+AW21+AX21</f>
        <v>28</v>
      </c>
      <c r="AH21" s="309">
        <f>VLOOKUP(A21,'5 тур'!$C$7:$BA$48,51,FALSE)</f>
        <v>0</v>
      </c>
      <c r="AI21" s="309">
        <f>LARGE(AT21:AX23,1)</f>
        <v>15</v>
      </c>
      <c r="AJ21" s="309">
        <f>LARGE(AT21:AX23,2)</f>
        <v>13</v>
      </c>
      <c r="AK21" s="309">
        <f>LARGE(AT21:AX23,3)</f>
        <v>0</v>
      </c>
      <c r="AL21" s="309"/>
      <c r="AM21" s="309"/>
      <c r="AN21" s="309"/>
      <c r="AO21" s="309"/>
      <c r="AP21" s="309"/>
      <c r="AQ21" s="309"/>
      <c r="AR21" s="309"/>
      <c r="AS21" s="309"/>
      <c r="AT21" s="301">
        <f>G21</f>
        <v>15</v>
      </c>
      <c r="AU21" s="301">
        <f>M21</f>
        <v>13</v>
      </c>
      <c r="AV21" s="301">
        <f>S21</f>
        <v>0</v>
      </c>
      <c r="AW21" s="301">
        <f>Z21</f>
        <v>0</v>
      </c>
      <c r="AX21" s="301">
        <f>AH21</f>
        <v>0</v>
      </c>
      <c r="AY21" s="301" t="str">
        <f>A21</f>
        <v>Иванов Евгений
СФДМ, Красногорск</v>
      </c>
      <c r="AZ21" s="311">
        <f>AT21+AU21+AV21+AW21+AX21-SMALL(AT21:AX23,1)</f>
        <v>28</v>
      </c>
      <c r="BA21" s="301">
        <f>AG21*10000+AI21*100+AJ21*10+AK21*0.1</f>
        <v>281630</v>
      </c>
      <c r="BB21" s="311">
        <f>RANK(BA21,$BA$3:$BA$44,0)</f>
        <v>9</v>
      </c>
      <c r="BC21" s="301">
        <f>AZ21+LARGE(AT21:AX23,1)*0.01+LARGE(AT21:AX23,2)*0.0001+LARGE(AT21:AX23,3)*0.000001+LARGE(AT21:AX23,4)*0.00000001+LARGE(AT21:AX23,5)*0.0000000001</f>
        <v>28.1513</v>
      </c>
      <c r="BD21" s="300">
        <f>RANK(BC21,$BC$3:$BC$44,0)</f>
        <v>9</v>
      </c>
    </row>
    <row r="22" spans="1:56" ht="9.75" customHeight="1" thickBot="1">
      <c r="A22" s="305"/>
      <c r="B22" s="305"/>
      <c r="C22" s="307"/>
      <c r="D22" s="309"/>
      <c r="E22" s="301"/>
      <c r="F22" s="301"/>
      <c r="G22" s="301"/>
      <c r="H22" s="301"/>
      <c r="I22" s="309"/>
      <c r="J22" s="301"/>
      <c r="K22" s="301"/>
      <c r="L22" s="301"/>
      <c r="M22" s="301"/>
      <c r="N22" s="301"/>
      <c r="O22" s="309"/>
      <c r="P22" s="301"/>
      <c r="Q22" s="301"/>
      <c r="R22" s="301"/>
      <c r="S22" s="301"/>
      <c r="T22" s="301"/>
      <c r="U22" s="301"/>
      <c r="V22" s="309"/>
      <c r="W22" s="301"/>
      <c r="X22" s="301"/>
      <c r="Y22" s="301"/>
      <c r="Z22" s="301"/>
      <c r="AA22" s="301"/>
      <c r="AB22" s="301"/>
      <c r="AC22" s="301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1"/>
      <c r="AU22" s="301"/>
      <c r="AV22" s="301"/>
      <c r="AW22" s="301"/>
      <c r="AX22" s="301"/>
      <c r="AY22" s="301"/>
      <c r="AZ22" s="311"/>
      <c r="BA22" s="301"/>
      <c r="BB22" s="311"/>
      <c r="BC22" s="301"/>
      <c r="BD22" s="300"/>
    </row>
    <row r="23" spans="1:56" ht="24" customHeight="1" thickBot="1">
      <c r="A23" s="305"/>
      <c r="B23" s="305"/>
      <c r="C23" s="307"/>
      <c r="D23" s="309"/>
      <c r="E23" s="301"/>
      <c r="F23" s="301"/>
      <c r="G23" s="301"/>
      <c r="H23" s="301"/>
      <c r="I23" s="309"/>
      <c r="J23" s="301"/>
      <c r="K23" s="301"/>
      <c r="L23" s="301"/>
      <c r="M23" s="301"/>
      <c r="N23" s="301"/>
      <c r="O23" s="309"/>
      <c r="P23" s="301"/>
      <c r="Q23" s="301"/>
      <c r="R23" s="301"/>
      <c r="S23" s="301"/>
      <c r="T23" s="301"/>
      <c r="U23" s="301"/>
      <c r="V23" s="309"/>
      <c r="W23" s="301"/>
      <c r="X23" s="301"/>
      <c r="Y23" s="301"/>
      <c r="Z23" s="301"/>
      <c r="AA23" s="301"/>
      <c r="AB23" s="301"/>
      <c r="AC23" s="301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1"/>
      <c r="AU23" s="301"/>
      <c r="AV23" s="301"/>
      <c r="AW23" s="301"/>
      <c r="AX23" s="301"/>
      <c r="AY23" s="301"/>
      <c r="AZ23" s="311"/>
      <c r="BA23" s="301"/>
      <c r="BB23" s="311"/>
      <c r="BC23" s="301"/>
      <c r="BD23" s="300"/>
    </row>
    <row r="24" spans="1:56" ht="9.75" customHeight="1" thickBot="1">
      <c r="A24" s="304" t="s">
        <v>62</v>
      </c>
      <c r="B24" s="304"/>
      <c r="C24" s="307">
        <v>7</v>
      </c>
      <c r="D24" s="309">
        <v>1</v>
      </c>
      <c r="E24" s="301">
        <f>D24*1000+C24</f>
        <v>1007</v>
      </c>
      <c r="F24" s="301">
        <f>RANK(E24,$E$3:$E$44,0)</f>
        <v>8</v>
      </c>
      <c r="G24" s="301">
        <f>VLOOKUP(A24,'1 тур'!$C$7:$BA$48,51,FALSE)</f>
        <v>9</v>
      </c>
      <c r="H24" s="301">
        <f>VLOOKUP(A24,'1 тур'!$C$7:$AZ$48,50,FALSE)</f>
        <v>9</v>
      </c>
      <c r="I24" s="309">
        <v>1</v>
      </c>
      <c r="J24" s="301">
        <f>I24*1000+G24*10+C24*0.01</f>
        <v>1090.07</v>
      </c>
      <c r="K24" s="301">
        <f>RANK(J24,$J$3:$J$44,0)</f>
        <v>9</v>
      </c>
      <c r="L24" s="301">
        <f>AT24+AU24</f>
        <v>29</v>
      </c>
      <c r="M24" s="301">
        <f>VLOOKUP(A24,'2 тур'!$C$7:$BA$48,51,FALSE)</f>
        <v>20</v>
      </c>
      <c r="N24" s="301">
        <f>LARGE(AT24:AU26,1)</f>
        <v>20</v>
      </c>
      <c r="O24" s="309"/>
      <c r="P24" s="301">
        <f>O24*1000+L24+N24*0.001+C24*0.00001</f>
        <v>29.02007</v>
      </c>
      <c r="Q24" s="301">
        <f>RANK(P24,$P$3:$P$44)</f>
        <v>12</v>
      </c>
      <c r="R24" s="301">
        <f>AT24+AU24+AV24</f>
        <v>29</v>
      </c>
      <c r="S24" s="301">
        <f>VLOOKUP(A24,'3 тур'!$C$7:$BA$48,51,FALSE)</f>
        <v>0</v>
      </c>
      <c r="T24" s="301">
        <f>LARGE(AT24:AV26,1)</f>
        <v>20</v>
      </c>
      <c r="U24" s="301">
        <f>LARGE(AT24:AV26,2)</f>
        <v>9</v>
      </c>
      <c r="V24" s="309"/>
      <c r="W24" s="301">
        <f>V24*1000+R24*10+T24*0.01+U24*0.0001+C24*0.00001</f>
        <v>290.20097</v>
      </c>
      <c r="X24" s="301">
        <f>RANK(W24,$W$3:$W$44,0)</f>
        <v>8</v>
      </c>
      <c r="Y24" s="301">
        <f>AT24+AU24+AV24+AW24</f>
        <v>29</v>
      </c>
      <c r="Z24" s="301">
        <f>VLOOKUP(A24,'4 тур'!$C$7:$BA$48,51,FALSE)</f>
        <v>0</v>
      </c>
      <c r="AA24" s="301">
        <f>LARGE(AT24:AW26,1)</f>
        <v>20</v>
      </c>
      <c r="AB24" s="301">
        <f>LARGE(AT24:AW26,2)</f>
        <v>9</v>
      </c>
      <c r="AC24" s="301">
        <f>LARGE(AT24:AW26,3)</f>
        <v>0</v>
      </c>
      <c r="AD24" s="309"/>
      <c r="AE24" s="309">
        <f>AD24*1000+Y24*10+AA24*0.1+AB24*0.001+AC24*0.00001+C24*0.000001</f>
        <v>292.009007</v>
      </c>
      <c r="AF24" s="309">
        <f>RANK(AE24,$AE$3:$AE$44,0)</f>
        <v>8</v>
      </c>
      <c r="AG24" s="309">
        <f>AT24+AU24+AV24+AW24+AX24</f>
        <v>29</v>
      </c>
      <c r="AH24" s="309">
        <f>VLOOKUP(A24,'5 тур'!$C$7:$BA$48,51,FALSE)</f>
        <v>0</v>
      </c>
      <c r="AI24" s="309">
        <f>LARGE(AT24:AX26,1)</f>
        <v>20</v>
      </c>
      <c r="AJ24" s="309">
        <f>LARGE(AT24:AX26,2)</f>
        <v>9</v>
      </c>
      <c r="AK24" s="309">
        <f>LARGE(AT24:AX26,3)</f>
        <v>0</v>
      </c>
      <c r="AL24" s="309"/>
      <c r="AM24" s="309"/>
      <c r="AN24" s="309"/>
      <c r="AO24" s="309"/>
      <c r="AP24" s="309"/>
      <c r="AQ24" s="309"/>
      <c r="AR24" s="309"/>
      <c r="AS24" s="309"/>
      <c r="AT24" s="301">
        <f>G24</f>
        <v>9</v>
      </c>
      <c r="AU24" s="301">
        <f>M24</f>
        <v>20</v>
      </c>
      <c r="AV24" s="301">
        <f>S24</f>
        <v>0</v>
      </c>
      <c r="AW24" s="301">
        <f>Z24</f>
        <v>0</v>
      </c>
      <c r="AX24" s="301">
        <f>AH24</f>
        <v>0</v>
      </c>
      <c r="AY24" s="301" t="str">
        <f>A24</f>
        <v>Колпаков Олег
СФДМ, Москва</v>
      </c>
      <c r="AZ24" s="311">
        <f>AT24+AU24+AV24+AW24+AX24-SMALL(AT24:AX26,1)</f>
        <v>29</v>
      </c>
      <c r="BA24" s="301">
        <f>AG24*10000+AI24*100+AJ24*10+AK24*0.1</f>
        <v>292090</v>
      </c>
      <c r="BB24" s="311">
        <f>RANK(BA24,$BA$3:$BA$44,0)</f>
        <v>8</v>
      </c>
      <c r="BC24" s="301">
        <f>AZ24+LARGE(AT24:AX26,1)*0.01+LARGE(AT24:AX26,2)*0.0001+LARGE(AT24:AX26,3)*0.000001+LARGE(AT24:AX26,4)*0.00000001+LARGE(AT24:AX26,5)*0.0000000001</f>
        <v>29.2009</v>
      </c>
      <c r="BD24" s="300">
        <f>RANK(BC24,$BC$3:$BC$44,0)</f>
        <v>8</v>
      </c>
    </row>
    <row r="25" spans="1:56" ht="9.75" customHeight="1" thickBot="1">
      <c r="A25" s="305"/>
      <c r="B25" s="305"/>
      <c r="C25" s="307"/>
      <c r="D25" s="309"/>
      <c r="E25" s="301"/>
      <c r="F25" s="301"/>
      <c r="G25" s="301"/>
      <c r="H25" s="301"/>
      <c r="I25" s="309"/>
      <c r="J25" s="301"/>
      <c r="K25" s="301"/>
      <c r="L25" s="301"/>
      <c r="M25" s="301"/>
      <c r="N25" s="301"/>
      <c r="O25" s="309"/>
      <c r="P25" s="301"/>
      <c r="Q25" s="301"/>
      <c r="R25" s="301"/>
      <c r="S25" s="301"/>
      <c r="T25" s="301"/>
      <c r="U25" s="301"/>
      <c r="V25" s="309"/>
      <c r="W25" s="301"/>
      <c r="X25" s="301"/>
      <c r="Y25" s="301"/>
      <c r="Z25" s="301"/>
      <c r="AA25" s="301"/>
      <c r="AB25" s="301"/>
      <c r="AC25" s="301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1"/>
      <c r="AU25" s="301"/>
      <c r="AV25" s="301"/>
      <c r="AW25" s="301"/>
      <c r="AX25" s="301"/>
      <c r="AY25" s="301"/>
      <c r="AZ25" s="311"/>
      <c r="BA25" s="301"/>
      <c r="BB25" s="311"/>
      <c r="BC25" s="301"/>
      <c r="BD25" s="300"/>
    </row>
    <row r="26" spans="1:56" ht="9.75" customHeight="1" thickBot="1">
      <c r="A26" s="305"/>
      <c r="B26" s="305"/>
      <c r="C26" s="307"/>
      <c r="D26" s="309"/>
      <c r="E26" s="301"/>
      <c r="F26" s="301"/>
      <c r="G26" s="301"/>
      <c r="H26" s="301"/>
      <c r="I26" s="309"/>
      <c r="J26" s="301"/>
      <c r="K26" s="301"/>
      <c r="L26" s="301"/>
      <c r="M26" s="301"/>
      <c r="N26" s="301"/>
      <c r="O26" s="309"/>
      <c r="P26" s="301"/>
      <c r="Q26" s="301"/>
      <c r="R26" s="301"/>
      <c r="S26" s="301"/>
      <c r="T26" s="301"/>
      <c r="U26" s="301"/>
      <c r="V26" s="309"/>
      <c r="W26" s="301"/>
      <c r="X26" s="301"/>
      <c r="Y26" s="301"/>
      <c r="Z26" s="301"/>
      <c r="AA26" s="301"/>
      <c r="AB26" s="301"/>
      <c r="AC26" s="301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1"/>
      <c r="AU26" s="301"/>
      <c r="AV26" s="301"/>
      <c r="AW26" s="301"/>
      <c r="AX26" s="301"/>
      <c r="AY26" s="301"/>
      <c r="AZ26" s="311"/>
      <c r="BA26" s="301"/>
      <c r="BB26" s="311"/>
      <c r="BC26" s="301"/>
      <c r="BD26" s="300"/>
    </row>
    <row r="27" spans="1:56" ht="9.75" customHeight="1" thickBot="1">
      <c r="A27" s="304" t="s">
        <v>63</v>
      </c>
      <c r="B27" s="304"/>
      <c r="C27" s="307">
        <v>6</v>
      </c>
      <c r="D27" s="309">
        <v>1</v>
      </c>
      <c r="E27" s="301">
        <f>D27*1000+C27</f>
        <v>1006</v>
      </c>
      <c r="F27" s="301">
        <f>RANK(E27,$E$3:$E$44,0)</f>
        <v>9</v>
      </c>
      <c r="G27" s="301">
        <f>VLOOKUP(A27,'1 тур'!$C$7:$BA$48,51,FALSE)</f>
        <v>26</v>
      </c>
      <c r="H27" s="301">
        <f>VLOOKUP(A27,'1 тур'!$C$7:$AZ$48,50,FALSE)</f>
        <v>2</v>
      </c>
      <c r="I27" s="309">
        <v>1</v>
      </c>
      <c r="J27" s="301">
        <f>I27*1000+G27*10+C27*0.01</f>
        <v>1260.06</v>
      </c>
      <c r="K27" s="301">
        <f>RANK(J27,$J$3:$J$44,0)</f>
        <v>2</v>
      </c>
      <c r="L27" s="301">
        <f>AT27+AU27</f>
        <v>56</v>
      </c>
      <c r="M27" s="301">
        <f>VLOOKUP(A27,'2 тур'!$C$7:$BA$48,51,FALSE)</f>
        <v>30</v>
      </c>
      <c r="N27" s="301">
        <f>LARGE(AT27:AU29,1)</f>
        <v>30</v>
      </c>
      <c r="O27" s="309"/>
      <c r="P27" s="301">
        <f>O27*1000+L27+N27*0.001+C27*0.00001</f>
        <v>56.03006</v>
      </c>
      <c r="Q27" s="301">
        <f>RANK(P27,$P$3:$P$44)</f>
        <v>11</v>
      </c>
      <c r="R27" s="301">
        <f>AT27+AU27+AV27</f>
        <v>56</v>
      </c>
      <c r="S27" s="301">
        <f>VLOOKUP(A27,'3 тур'!$C$7:$BA$48,51,FALSE)</f>
        <v>0</v>
      </c>
      <c r="T27" s="301">
        <f>LARGE(AT27:AV29,1)</f>
        <v>30</v>
      </c>
      <c r="U27" s="301">
        <f>LARGE(AT27:AV29,2)</f>
        <v>26</v>
      </c>
      <c r="V27" s="309"/>
      <c r="W27" s="301">
        <f>V27*1000+R27*10+T27*0.01+U27*0.0001+C27*0.00001</f>
        <v>560.30266</v>
      </c>
      <c r="X27" s="301">
        <f>RANK(W27,$W$3:$W$44,0)</f>
        <v>4</v>
      </c>
      <c r="Y27" s="301">
        <f>AT27+AU27+AV27+AW27</f>
        <v>56</v>
      </c>
      <c r="Z27" s="301">
        <f>VLOOKUP(A27,'4 тур'!$C$7:$BA$48,51,FALSE)</f>
        <v>0</v>
      </c>
      <c r="AA27" s="301">
        <f>LARGE(AT27:AW29,1)</f>
        <v>30</v>
      </c>
      <c r="AB27" s="301">
        <f>LARGE(AT27:AW29,2)</f>
        <v>26</v>
      </c>
      <c r="AC27" s="301">
        <f>LARGE(AT27:AW29,3)</f>
        <v>0</v>
      </c>
      <c r="AD27" s="309"/>
      <c r="AE27" s="309">
        <f>AD27*1000+Y27*10+AA27*0.1+AB27*0.001+AC27*0.00001+C27*0.000001</f>
        <v>563.0260059999999</v>
      </c>
      <c r="AF27" s="309">
        <f>RANK(AE27,$AE$3:$AE$44,0)</f>
        <v>4</v>
      </c>
      <c r="AG27" s="309">
        <f>AT27+AU27+AV27+AW27+AX27</f>
        <v>56</v>
      </c>
      <c r="AH27" s="309">
        <f>VLOOKUP(A27,'5 тур'!$C$7:$BA$48,51,FALSE)</f>
        <v>0</v>
      </c>
      <c r="AI27" s="309">
        <f>LARGE(AT27:AX29,1)</f>
        <v>30</v>
      </c>
      <c r="AJ27" s="309">
        <f>LARGE(AT27:AX29,2)</f>
        <v>26</v>
      </c>
      <c r="AK27" s="309">
        <f>LARGE(AT27:AX29,3)</f>
        <v>0</v>
      </c>
      <c r="AL27" s="309"/>
      <c r="AM27" s="309"/>
      <c r="AN27" s="309"/>
      <c r="AO27" s="309"/>
      <c r="AP27" s="309"/>
      <c r="AQ27" s="309"/>
      <c r="AR27" s="309"/>
      <c r="AS27" s="309"/>
      <c r="AT27" s="301">
        <f>G27</f>
        <v>26</v>
      </c>
      <c r="AU27" s="301">
        <f>M27</f>
        <v>30</v>
      </c>
      <c r="AV27" s="301">
        <f>S27</f>
        <v>0</v>
      </c>
      <c r="AW27" s="301">
        <f>Z27</f>
        <v>0</v>
      </c>
      <c r="AX27" s="301">
        <f>AH27</f>
        <v>0</v>
      </c>
      <c r="AY27" s="301" t="str">
        <f>A27</f>
        <v>Соболев Артем
СФДМ, Москва</v>
      </c>
      <c r="AZ27" s="311">
        <f>AT27+AU27+AV27+AW27+AX27-SMALL(AT27:AX29,1)</f>
        <v>56</v>
      </c>
      <c r="BA27" s="301">
        <f>AG27*10000+AI27*100+AJ27*10+AK27*0.1</f>
        <v>563260</v>
      </c>
      <c r="BB27" s="311">
        <f>RANK(BA27,$BA$3:$BA$44,0)</f>
        <v>4</v>
      </c>
      <c r="BC27" s="301">
        <f>AZ27+LARGE(AT27:AX29,1)*0.01+LARGE(AT27:AX29,2)*0.0001+LARGE(AT27:AX29,3)*0.000001+LARGE(AT27:AX29,4)*0.00000001+LARGE(AT27:AX29,5)*0.0000000001</f>
        <v>56.3026</v>
      </c>
      <c r="BD27" s="300">
        <f>RANK(BC27,$BC$3:$BC$44,0)</f>
        <v>4</v>
      </c>
    </row>
    <row r="28" spans="1:56" ht="9.75" customHeight="1" thickBot="1">
      <c r="A28" s="305"/>
      <c r="B28" s="305"/>
      <c r="C28" s="307"/>
      <c r="D28" s="309"/>
      <c r="E28" s="301"/>
      <c r="F28" s="301"/>
      <c r="G28" s="301"/>
      <c r="H28" s="301"/>
      <c r="I28" s="309"/>
      <c r="J28" s="301"/>
      <c r="K28" s="301"/>
      <c r="L28" s="301"/>
      <c r="M28" s="301"/>
      <c r="N28" s="301"/>
      <c r="O28" s="309"/>
      <c r="P28" s="301"/>
      <c r="Q28" s="301"/>
      <c r="R28" s="301"/>
      <c r="S28" s="301"/>
      <c r="T28" s="301"/>
      <c r="U28" s="301"/>
      <c r="V28" s="309"/>
      <c r="W28" s="301"/>
      <c r="X28" s="301"/>
      <c r="Y28" s="301"/>
      <c r="Z28" s="301"/>
      <c r="AA28" s="301"/>
      <c r="AB28" s="301"/>
      <c r="AC28" s="301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1"/>
      <c r="AU28" s="301"/>
      <c r="AV28" s="301"/>
      <c r="AW28" s="301"/>
      <c r="AX28" s="301"/>
      <c r="AY28" s="301"/>
      <c r="AZ28" s="311"/>
      <c r="BA28" s="301"/>
      <c r="BB28" s="311"/>
      <c r="BC28" s="301"/>
      <c r="BD28" s="300"/>
    </row>
    <row r="29" spans="1:56" ht="9.75" customHeight="1" thickBot="1">
      <c r="A29" s="305"/>
      <c r="B29" s="305"/>
      <c r="C29" s="307"/>
      <c r="D29" s="309"/>
      <c r="E29" s="301"/>
      <c r="F29" s="301"/>
      <c r="G29" s="301"/>
      <c r="H29" s="301"/>
      <c r="I29" s="309"/>
      <c r="J29" s="301"/>
      <c r="K29" s="301"/>
      <c r="L29" s="301"/>
      <c r="M29" s="301"/>
      <c r="N29" s="301"/>
      <c r="O29" s="309"/>
      <c r="P29" s="301"/>
      <c r="Q29" s="301"/>
      <c r="R29" s="301"/>
      <c r="S29" s="301"/>
      <c r="T29" s="301"/>
      <c r="U29" s="301"/>
      <c r="V29" s="309"/>
      <c r="W29" s="301"/>
      <c r="X29" s="301"/>
      <c r="Y29" s="301"/>
      <c r="Z29" s="301"/>
      <c r="AA29" s="301"/>
      <c r="AB29" s="301"/>
      <c r="AC29" s="301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1"/>
      <c r="AU29" s="301"/>
      <c r="AV29" s="301"/>
      <c r="AW29" s="301"/>
      <c r="AX29" s="301"/>
      <c r="AY29" s="301"/>
      <c r="AZ29" s="311"/>
      <c r="BA29" s="301"/>
      <c r="BB29" s="311"/>
      <c r="BC29" s="301"/>
      <c r="BD29" s="300"/>
    </row>
    <row r="30" spans="1:56" ht="9.75" customHeight="1" thickBot="1">
      <c r="A30" s="304" t="s">
        <v>64</v>
      </c>
      <c r="B30" s="304"/>
      <c r="C30" s="307">
        <v>5</v>
      </c>
      <c r="D30" s="309">
        <v>1</v>
      </c>
      <c r="E30" s="301">
        <f>D30*1000+C30</f>
        <v>1005</v>
      </c>
      <c r="F30" s="301">
        <f>RANK(E30,$E$3:$E$44,0)</f>
        <v>10</v>
      </c>
      <c r="G30" s="301">
        <f>VLOOKUP(A30,'1 тур'!$C$7:$BA$48,51,FALSE)</f>
        <v>7</v>
      </c>
      <c r="H30" s="301">
        <f>VLOOKUP(A30,'1 тур'!$C$7:$AZ$48,50,FALSE)</f>
        <v>11</v>
      </c>
      <c r="I30" s="309"/>
      <c r="J30" s="301">
        <f>I30*1000+G30*10+C30*0.01</f>
        <v>70.05</v>
      </c>
      <c r="K30" s="301">
        <f>RANK(J30,$J$3:$J$44,0)</f>
        <v>14</v>
      </c>
      <c r="L30" s="301">
        <f>AT30+AU30</f>
        <v>7</v>
      </c>
      <c r="M30" s="301">
        <f>VLOOKUP(A30,'2 тур'!$C$7:$BA$48,51,FALSE)</f>
        <v>0</v>
      </c>
      <c r="N30" s="301">
        <f>LARGE(AT30:AU32,1)</f>
        <v>7</v>
      </c>
      <c r="O30" s="309">
        <v>1</v>
      </c>
      <c r="P30" s="301">
        <f>O30*1000+L30+N30*0.001+C30*0.00001</f>
        <v>1007.0070499999999</v>
      </c>
      <c r="Q30" s="301">
        <f>RANK(P30,$P$3:$P$44)</f>
        <v>9</v>
      </c>
      <c r="R30" s="301">
        <f>AT30+AU30+AV30</f>
        <v>19</v>
      </c>
      <c r="S30" s="301">
        <f>VLOOKUP(A30,'3 тур'!$C$7:$BA$48,51,FALSE)</f>
        <v>12</v>
      </c>
      <c r="T30" s="301">
        <f>LARGE(AT30:AV32,1)</f>
        <v>12</v>
      </c>
      <c r="U30" s="301">
        <f>LARGE(AT30:AV32,2)</f>
        <v>7</v>
      </c>
      <c r="V30" s="309"/>
      <c r="W30" s="301">
        <f>V30*1000+R30*10+T30*0.01+U30*0.0001+C30*0.00001</f>
        <v>190.12075</v>
      </c>
      <c r="X30" s="301">
        <f>RANK(W30,$W$3:$W$44,0)</f>
        <v>13</v>
      </c>
      <c r="Y30" s="301">
        <f>AT30+AU30+AV30+AW30</f>
        <v>19</v>
      </c>
      <c r="Z30" s="301">
        <f>VLOOKUP(A30,'4 тур'!$C$7:$BA$48,51,FALSE)</f>
        <v>0</v>
      </c>
      <c r="AA30" s="301">
        <f>LARGE(AT30:AW32,1)</f>
        <v>12</v>
      </c>
      <c r="AB30" s="301">
        <f>LARGE(AT30:AW32,2)</f>
        <v>7</v>
      </c>
      <c r="AC30" s="301">
        <f>LARGE(AT30:AW32,3)</f>
        <v>0</v>
      </c>
      <c r="AD30" s="309"/>
      <c r="AE30" s="309">
        <f>AD30*1000+Y30*10+AA30*0.1+AB30*0.001+AC30*0.00001+C30*0.000001</f>
        <v>191.20700499999998</v>
      </c>
      <c r="AF30" s="309">
        <f>RANK(AE30,$AE$3:$AE$44,0)</f>
        <v>13</v>
      </c>
      <c r="AG30" s="309">
        <f>AT30+AU30+AV30+AW30+AX30</f>
        <v>19</v>
      </c>
      <c r="AH30" s="309">
        <f>VLOOKUP(A30,'5 тур'!$C$7:$BA$48,51,FALSE)</f>
        <v>0</v>
      </c>
      <c r="AI30" s="309">
        <f>LARGE(AT30:AX32,1)</f>
        <v>12</v>
      </c>
      <c r="AJ30" s="309">
        <f>LARGE(AT30:AX32,2)</f>
        <v>7</v>
      </c>
      <c r="AK30" s="309">
        <f>LARGE(AT30:AX32,3)</f>
        <v>0</v>
      </c>
      <c r="AL30" s="309"/>
      <c r="AM30" s="309"/>
      <c r="AN30" s="309"/>
      <c r="AO30" s="309"/>
      <c r="AP30" s="309"/>
      <c r="AQ30" s="309"/>
      <c r="AR30" s="309"/>
      <c r="AS30" s="309"/>
      <c r="AT30" s="301">
        <f>G30</f>
        <v>7</v>
      </c>
      <c r="AU30" s="301">
        <f>M30</f>
        <v>0</v>
      </c>
      <c r="AV30" s="301">
        <f>S30</f>
        <v>12</v>
      </c>
      <c r="AW30" s="301">
        <f>Z30</f>
        <v>0</v>
      </c>
      <c r="AX30" s="301">
        <f>AH30</f>
        <v>0</v>
      </c>
      <c r="AY30" s="301" t="str">
        <f>A30</f>
        <v>Сердюк Владимир
СФДМ, Москва</v>
      </c>
      <c r="AZ30" s="311">
        <f>AT30+AU30+AV30+AW30+AX30-SMALL(AT30:AX32,1)</f>
        <v>19</v>
      </c>
      <c r="BA30" s="301">
        <f>AG30*10000+AI30*100+AJ30*10+AK30*0.1</f>
        <v>191270</v>
      </c>
      <c r="BB30" s="311">
        <f>RANK(BA30,$BA$3:$BA$44,0)</f>
        <v>13</v>
      </c>
      <c r="BC30" s="301">
        <f>AZ30+LARGE(AT30:AX32,1)*0.01+LARGE(AT30:AX32,2)*0.0001+LARGE(AT30:AX32,3)*0.000001+LARGE(AT30:AX32,4)*0.00000001+LARGE(AT30:AX32,5)*0.0000000001</f>
        <v>19.1207</v>
      </c>
      <c r="BD30" s="300">
        <f>RANK(BC30,$BC$3:$BC$44,0)</f>
        <v>13</v>
      </c>
    </row>
    <row r="31" spans="1:56" ht="9.75" customHeight="1" thickBot="1">
      <c r="A31" s="305"/>
      <c r="B31" s="305"/>
      <c r="C31" s="307"/>
      <c r="D31" s="309"/>
      <c r="E31" s="301"/>
      <c r="F31" s="301"/>
      <c r="G31" s="301"/>
      <c r="H31" s="301"/>
      <c r="I31" s="309"/>
      <c r="J31" s="301"/>
      <c r="K31" s="301"/>
      <c r="L31" s="301"/>
      <c r="M31" s="301"/>
      <c r="N31" s="301"/>
      <c r="O31" s="309"/>
      <c r="P31" s="301"/>
      <c r="Q31" s="301"/>
      <c r="R31" s="301"/>
      <c r="S31" s="301"/>
      <c r="T31" s="301"/>
      <c r="U31" s="301"/>
      <c r="V31" s="309"/>
      <c r="W31" s="301"/>
      <c r="X31" s="301"/>
      <c r="Y31" s="301"/>
      <c r="Z31" s="301"/>
      <c r="AA31" s="301"/>
      <c r="AB31" s="301"/>
      <c r="AC31" s="301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1"/>
      <c r="AU31" s="301"/>
      <c r="AV31" s="301"/>
      <c r="AW31" s="301"/>
      <c r="AX31" s="301"/>
      <c r="AY31" s="301"/>
      <c r="AZ31" s="311"/>
      <c r="BA31" s="301"/>
      <c r="BB31" s="311"/>
      <c r="BC31" s="301"/>
      <c r="BD31" s="300"/>
    </row>
    <row r="32" spans="1:56" ht="21" customHeight="1" thickBot="1">
      <c r="A32" s="305"/>
      <c r="B32" s="305"/>
      <c r="C32" s="307"/>
      <c r="D32" s="309"/>
      <c r="E32" s="301"/>
      <c r="F32" s="301"/>
      <c r="G32" s="301"/>
      <c r="H32" s="301"/>
      <c r="I32" s="309"/>
      <c r="J32" s="301"/>
      <c r="K32" s="301"/>
      <c r="L32" s="301"/>
      <c r="M32" s="301"/>
      <c r="N32" s="301"/>
      <c r="O32" s="309"/>
      <c r="P32" s="301"/>
      <c r="Q32" s="301"/>
      <c r="R32" s="301"/>
      <c r="S32" s="301"/>
      <c r="T32" s="301"/>
      <c r="U32" s="301"/>
      <c r="V32" s="309"/>
      <c r="W32" s="301"/>
      <c r="X32" s="301"/>
      <c r="Y32" s="301"/>
      <c r="Z32" s="301"/>
      <c r="AA32" s="301"/>
      <c r="AB32" s="301"/>
      <c r="AC32" s="301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1"/>
      <c r="AU32" s="301"/>
      <c r="AV32" s="301"/>
      <c r="AW32" s="301"/>
      <c r="AX32" s="301"/>
      <c r="AY32" s="301"/>
      <c r="AZ32" s="311"/>
      <c r="BA32" s="301"/>
      <c r="BB32" s="311"/>
      <c r="BC32" s="301"/>
      <c r="BD32" s="300"/>
    </row>
    <row r="33" spans="1:56" ht="9.75" customHeight="1" thickBot="1">
      <c r="A33" s="304" t="s">
        <v>65</v>
      </c>
      <c r="B33" s="304"/>
      <c r="C33" s="307">
        <v>4</v>
      </c>
      <c r="D33" s="309">
        <v>1</v>
      </c>
      <c r="E33" s="301">
        <f>D33*1000+C33</f>
        <v>1004</v>
      </c>
      <c r="F33" s="301">
        <f>RANK(E33,$E$3:$E$44,0)</f>
        <v>11</v>
      </c>
      <c r="G33" s="301">
        <f>VLOOKUP(A33,'1 тур'!$C$7:$BA$48,51,FALSE)</f>
        <v>23</v>
      </c>
      <c r="H33" s="301">
        <f>VLOOKUP(A33,'1 тур'!$C$7:$AZ$48,50,FALSE)</f>
        <v>3</v>
      </c>
      <c r="I33" s="309">
        <v>1</v>
      </c>
      <c r="J33" s="301">
        <f>I33*1000+G33*10+C33*0.01</f>
        <v>1230.04</v>
      </c>
      <c r="K33" s="301">
        <f>RANK(J33,$J$3:$J$44,0)</f>
        <v>3</v>
      </c>
      <c r="L33" s="301">
        <f>AT33+AU33</f>
        <v>49</v>
      </c>
      <c r="M33" s="301">
        <f>VLOOKUP(A33,'2 тур'!$C$7:$BA$48,51,FALSE)</f>
        <v>26</v>
      </c>
      <c r="N33" s="301">
        <f>LARGE(AT33:AU35,1)</f>
        <v>26</v>
      </c>
      <c r="O33" s="309">
        <v>1</v>
      </c>
      <c r="P33" s="301">
        <f>O33*1000+L33+N33*0.001+C33*0.00001</f>
        <v>1049.02604</v>
      </c>
      <c r="Q33" s="301">
        <f>RANK(P33,$P$3:$P$44)</f>
        <v>2</v>
      </c>
      <c r="R33" s="301">
        <f>AT33+AU33+AV33</f>
        <v>79</v>
      </c>
      <c r="S33" s="301">
        <f>VLOOKUP(A33,'3 тур'!$C$7:$BA$48,51,FALSE)</f>
        <v>30</v>
      </c>
      <c r="T33" s="301">
        <f>LARGE(AT33:AV35,1)</f>
        <v>30</v>
      </c>
      <c r="U33" s="301">
        <f>LARGE(AT33:AV35,2)</f>
        <v>26</v>
      </c>
      <c r="V33" s="309"/>
      <c r="W33" s="301">
        <f>V33*1000+R33*10+T33*0.01+U33*0.0001+C33*0.00001</f>
        <v>790.30264</v>
      </c>
      <c r="X33" s="301">
        <f>RANK(W33,$W$3:$W$44,0)</f>
        <v>1</v>
      </c>
      <c r="Y33" s="301">
        <f>AT33+AU33+AV33+AW33</f>
        <v>79</v>
      </c>
      <c r="Z33" s="301">
        <f>VLOOKUP(A33,'4 тур'!$C$7:$BA$48,51,FALSE)</f>
        <v>0</v>
      </c>
      <c r="AA33" s="301">
        <f>LARGE(AT33:AW35,1)</f>
        <v>30</v>
      </c>
      <c r="AB33" s="301">
        <f>LARGE(AT33:AW35,2)</f>
        <v>26</v>
      </c>
      <c r="AC33" s="301">
        <f>LARGE(AT33:AW35,3)</f>
        <v>23</v>
      </c>
      <c r="AD33" s="309"/>
      <c r="AE33" s="309">
        <f>AD33*1000+Y33*10+AA33*0.1+AB33*0.001+AC33*0.00001+C33*0.000001</f>
        <v>793.0262339999999</v>
      </c>
      <c r="AF33" s="309">
        <f>RANK(AE33,$AE$3:$AE$44,0)</f>
        <v>1</v>
      </c>
      <c r="AG33" s="309">
        <f>AT33+AU33+AV33+AW33+AX33</f>
        <v>79</v>
      </c>
      <c r="AH33" s="309">
        <f>VLOOKUP(A33,'5 тур'!$C$7:$BA$48,51,FALSE)</f>
        <v>0</v>
      </c>
      <c r="AI33" s="309">
        <f>LARGE(AT33:AX35,1)</f>
        <v>30</v>
      </c>
      <c r="AJ33" s="309">
        <f>LARGE(AT33:AX35,2)</f>
        <v>26</v>
      </c>
      <c r="AK33" s="309">
        <f>LARGE(AT33:AX35,3)</f>
        <v>23</v>
      </c>
      <c r="AL33" s="309"/>
      <c r="AM33" s="309"/>
      <c r="AN33" s="309"/>
      <c r="AO33" s="309"/>
      <c r="AP33" s="309"/>
      <c r="AQ33" s="309"/>
      <c r="AR33" s="309"/>
      <c r="AS33" s="309"/>
      <c r="AT33" s="301">
        <f>G33</f>
        <v>23</v>
      </c>
      <c r="AU33" s="301">
        <f>M33</f>
        <v>26</v>
      </c>
      <c r="AV33" s="301">
        <f>S33</f>
        <v>30</v>
      </c>
      <c r="AW33" s="301">
        <f>Z33</f>
        <v>0</v>
      </c>
      <c r="AX33" s="301">
        <f>AH33</f>
        <v>0</v>
      </c>
      <c r="AY33" s="301" t="str">
        <f>A33</f>
        <v>Шашеро Антон
СФДМ, Москва</v>
      </c>
      <c r="AZ33" s="311">
        <f>AT33+AU33+AV33+AW33+AX33-SMALL(AT33:AX35,1)</f>
        <v>79</v>
      </c>
      <c r="BA33" s="301">
        <f>AG33*10000+AI33*100+AJ33*10+AK33*0.1</f>
        <v>793262.3</v>
      </c>
      <c r="BB33" s="311">
        <f>RANK(BA33,$BA$3:$BA$44,0)</f>
        <v>1</v>
      </c>
      <c r="BC33" s="301">
        <f>AZ33+LARGE(AT33:AX35,1)*0.01+LARGE(AT33:AX35,2)*0.0001+LARGE(AT33:AX35,3)*0.000001+LARGE(AT33:AX35,4)*0.00000001+LARGE(AT33:AX35,5)*0.0000000001</f>
        <v>79.302623</v>
      </c>
      <c r="BD33" s="300">
        <f>RANK(BC33,$BC$3:$BC$44,0)</f>
        <v>1</v>
      </c>
    </row>
    <row r="34" spans="1:56" ht="9.75" customHeight="1" thickBot="1">
      <c r="A34" s="305"/>
      <c r="B34" s="305"/>
      <c r="C34" s="307"/>
      <c r="D34" s="309"/>
      <c r="E34" s="301"/>
      <c r="F34" s="301"/>
      <c r="G34" s="301"/>
      <c r="H34" s="301"/>
      <c r="I34" s="309"/>
      <c r="J34" s="301"/>
      <c r="K34" s="301"/>
      <c r="L34" s="301"/>
      <c r="M34" s="301"/>
      <c r="N34" s="301"/>
      <c r="O34" s="309"/>
      <c r="P34" s="301"/>
      <c r="Q34" s="301"/>
      <c r="R34" s="301"/>
      <c r="S34" s="301"/>
      <c r="T34" s="301"/>
      <c r="U34" s="301"/>
      <c r="V34" s="309"/>
      <c r="W34" s="301"/>
      <c r="X34" s="301"/>
      <c r="Y34" s="301"/>
      <c r="Z34" s="301"/>
      <c r="AA34" s="301"/>
      <c r="AB34" s="301"/>
      <c r="AC34" s="301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1"/>
      <c r="AU34" s="301"/>
      <c r="AV34" s="301"/>
      <c r="AW34" s="301"/>
      <c r="AX34" s="301"/>
      <c r="AY34" s="301"/>
      <c r="AZ34" s="311"/>
      <c r="BA34" s="301"/>
      <c r="BB34" s="311"/>
      <c r="BC34" s="301"/>
      <c r="BD34" s="300"/>
    </row>
    <row r="35" spans="1:56" ht="9.75" customHeight="1" thickBot="1">
      <c r="A35" s="305"/>
      <c r="B35" s="305"/>
      <c r="C35" s="307"/>
      <c r="D35" s="309"/>
      <c r="E35" s="301"/>
      <c r="F35" s="301"/>
      <c r="G35" s="301"/>
      <c r="H35" s="301"/>
      <c r="I35" s="309"/>
      <c r="J35" s="301"/>
      <c r="K35" s="301"/>
      <c r="L35" s="301"/>
      <c r="M35" s="301"/>
      <c r="N35" s="301"/>
      <c r="O35" s="309"/>
      <c r="P35" s="301"/>
      <c r="Q35" s="301"/>
      <c r="R35" s="301"/>
      <c r="S35" s="301"/>
      <c r="T35" s="301"/>
      <c r="U35" s="301"/>
      <c r="V35" s="309"/>
      <c r="W35" s="301"/>
      <c r="X35" s="301"/>
      <c r="Y35" s="301"/>
      <c r="Z35" s="301"/>
      <c r="AA35" s="301"/>
      <c r="AB35" s="301"/>
      <c r="AC35" s="301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1"/>
      <c r="AU35" s="301"/>
      <c r="AV35" s="301"/>
      <c r="AW35" s="301"/>
      <c r="AX35" s="301"/>
      <c r="AY35" s="301"/>
      <c r="AZ35" s="311"/>
      <c r="BA35" s="301"/>
      <c r="BB35" s="311"/>
      <c r="BC35" s="301"/>
      <c r="BD35" s="300"/>
    </row>
    <row r="36" spans="1:56" ht="9.75" customHeight="1" thickBot="1">
      <c r="A36" s="304" t="s">
        <v>66</v>
      </c>
      <c r="B36" s="304"/>
      <c r="C36" s="307">
        <v>3</v>
      </c>
      <c r="D36" s="309">
        <v>1</v>
      </c>
      <c r="E36" s="301">
        <f>D36*1000+C36</f>
        <v>1003</v>
      </c>
      <c r="F36" s="301">
        <f>RANK(E36,$E$3:$E$44,0)</f>
        <v>12</v>
      </c>
      <c r="G36" s="301">
        <f>VLOOKUP(A36,'1 тур'!$C$7:$BA$48,51,FALSE)</f>
        <v>8</v>
      </c>
      <c r="H36" s="301">
        <f>VLOOKUP(A36,'1 тур'!$C$7:$AZ$48,50,FALSE)</f>
        <v>10</v>
      </c>
      <c r="I36" s="309"/>
      <c r="J36" s="301">
        <f>I36*1000+G36*10+C36*0.01</f>
        <v>80.03</v>
      </c>
      <c r="K36" s="301">
        <f>RANK(J36,$J$3:$J$44,0)</f>
        <v>13</v>
      </c>
      <c r="L36" s="301">
        <f>AT36+AU36</f>
        <v>8</v>
      </c>
      <c r="M36" s="301">
        <f>VLOOKUP(A36,'2 тур'!$C$7:$BA$48,51,FALSE)</f>
        <v>0</v>
      </c>
      <c r="N36" s="301">
        <f>LARGE(AT36:AU38,1)</f>
        <v>8</v>
      </c>
      <c r="O36" s="309"/>
      <c r="P36" s="301">
        <f>O36*1000+L36+N36*0.001+C36*0.00001</f>
        <v>8.00803</v>
      </c>
      <c r="Q36" s="301">
        <f>RANK(P36,$P$3:$P$44)</f>
        <v>14</v>
      </c>
      <c r="R36" s="301">
        <f>AT36+AU36+AV36</f>
        <v>8</v>
      </c>
      <c r="S36" s="301">
        <f>VLOOKUP(A36,'3 тур'!$C$7:$BA$48,51,FALSE)</f>
        <v>0</v>
      </c>
      <c r="T36" s="301">
        <f>LARGE(AT36:AV38,1)</f>
        <v>8</v>
      </c>
      <c r="U36" s="301">
        <f>LARGE(AT36:AV38,2)</f>
        <v>0</v>
      </c>
      <c r="V36" s="309"/>
      <c r="W36" s="301">
        <f>V36*1000+R36*10+T36*0.01+U36*0.0001+C36*0.00001</f>
        <v>80.08003</v>
      </c>
      <c r="X36" s="301">
        <f>RANK(W36,$W$3:$W$44,0)</f>
        <v>14</v>
      </c>
      <c r="Y36" s="301">
        <f>AT36+AU36+AV36+AW36</f>
        <v>8</v>
      </c>
      <c r="Z36" s="301">
        <f>VLOOKUP(A36,'4 тур'!$C$7:$BA$48,51,FALSE)</f>
        <v>0</v>
      </c>
      <c r="AA36" s="301">
        <f>LARGE(AT36:AW38,1)</f>
        <v>8</v>
      </c>
      <c r="AB36" s="301">
        <f>LARGE(AT36:AW38,2)</f>
        <v>0</v>
      </c>
      <c r="AC36" s="301">
        <f>LARGE(AT36:AW38,3)</f>
        <v>0</v>
      </c>
      <c r="AD36" s="309"/>
      <c r="AE36" s="309">
        <f>AD36*1000+Y36*10+AA36*0.1+AB36*0.001+AC36*0.00001+C36*0.000001</f>
        <v>80.800003</v>
      </c>
      <c r="AF36" s="309">
        <f>RANK(AE36,$AE$3:$AE$44,0)</f>
        <v>14</v>
      </c>
      <c r="AG36" s="309">
        <f>AT36+AU36+AV36+AW36+AX36</f>
        <v>8</v>
      </c>
      <c r="AH36" s="309">
        <f>VLOOKUP(A36,'5 тур'!$C$7:$BA$48,51,FALSE)</f>
        <v>0</v>
      </c>
      <c r="AI36" s="309">
        <f>LARGE(AT36:AX38,1)</f>
        <v>8</v>
      </c>
      <c r="AJ36" s="309">
        <f>LARGE(AT36:AX38,2)</f>
        <v>0</v>
      </c>
      <c r="AK36" s="309">
        <f>LARGE(AT36:AX38,3)</f>
        <v>0</v>
      </c>
      <c r="AL36" s="309"/>
      <c r="AM36" s="309"/>
      <c r="AN36" s="309"/>
      <c r="AO36" s="309"/>
      <c r="AP36" s="309"/>
      <c r="AQ36" s="309"/>
      <c r="AR36" s="309"/>
      <c r="AS36" s="309"/>
      <c r="AT36" s="301">
        <f>G36</f>
        <v>8</v>
      </c>
      <c r="AU36" s="301">
        <f>M36</f>
        <v>0</v>
      </c>
      <c r="AV36" s="301">
        <f>S36</f>
        <v>0</v>
      </c>
      <c r="AW36" s="301">
        <f>Z36</f>
        <v>0</v>
      </c>
      <c r="AX36" s="301">
        <f>AH36</f>
        <v>0</v>
      </c>
      <c r="AY36" s="301" t="str">
        <f>A36</f>
        <v>Акутов Александр
СФДМ, Москва</v>
      </c>
      <c r="AZ36" s="311">
        <f>AT36+AU36+AV36+AW36+AX36-SMALL(AT36:AX38,1)</f>
        <v>8</v>
      </c>
      <c r="BA36" s="301">
        <f>AG36*10000+AI36*100+AJ36*10+AK36*0.1</f>
        <v>80800</v>
      </c>
      <c r="BB36" s="311">
        <f>RANK(BA36,$BA$3:$BA$44,0)</f>
        <v>14</v>
      </c>
      <c r="BC36" s="301">
        <f>AZ36+LARGE(AT36:AX38,1)*0.01+LARGE(AT36:AX38,2)*0.0001+LARGE(AT36:AX38,3)*0.000001+LARGE(AT36:AX38,4)*0.00000001+LARGE(AT36:AX38,5)*0.0000000001</f>
        <v>8.08</v>
      </c>
      <c r="BD36" s="300">
        <f>RANK(BC36,$BC$3:$BC$44,0)</f>
        <v>14</v>
      </c>
    </row>
    <row r="37" spans="1:56" ht="9.75" customHeight="1" thickBot="1">
      <c r="A37" s="305"/>
      <c r="B37" s="305"/>
      <c r="C37" s="307"/>
      <c r="D37" s="309"/>
      <c r="E37" s="301"/>
      <c r="F37" s="301"/>
      <c r="G37" s="301"/>
      <c r="H37" s="301"/>
      <c r="I37" s="309"/>
      <c r="J37" s="301"/>
      <c r="K37" s="301"/>
      <c r="L37" s="301"/>
      <c r="M37" s="301"/>
      <c r="N37" s="301"/>
      <c r="O37" s="309"/>
      <c r="P37" s="301"/>
      <c r="Q37" s="301"/>
      <c r="R37" s="301"/>
      <c r="S37" s="301"/>
      <c r="T37" s="301"/>
      <c r="U37" s="301"/>
      <c r="V37" s="309"/>
      <c r="W37" s="301"/>
      <c r="X37" s="301"/>
      <c r="Y37" s="301"/>
      <c r="Z37" s="301"/>
      <c r="AA37" s="301"/>
      <c r="AB37" s="301"/>
      <c r="AC37" s="301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1"/>
      <c r="AU37" s="301"/>
      <c r="AV37" s="301"/>
      <c r="AW37" s="301"/>
      <c r="AX37" s="301"/>
      <c r="AY37" s="301"/>
      <c r="AZ37" s="311"/>
      <c r="BA37" s="301"/>
      <c r="BB37" s="311"/>
      <c r="BC37" s="301"/>
      <c r="BD37" s="300"/>
    </row>
    <row r="38" spans="1:56" ht="21" customHeight="1" thickBot="1">
      <c r="A38" s="305"/>
      <c r="B38" s="305"/>
      <c r="C38" s="307"/>
      <c r="D38" s="309"/>
      <c r="E38" s="301"/>
      <c r="F38" s="301"/>
      <c r="G38" s="301"/>
      <c r="H38" s="301"/>
      <c r="I38" s="309"/>
      <c r="J38" s="301"/>
      <c r="K38" s="301"/>
      <c r="L38" s="301"/>
      <c r="M38" s="301"/>
      <c r="N38" s="301"/>
      <c r="O38" s="309"/>
      <c r="P38" s="301"/>
      <c r="Q38" s="301"/>
      <c r="R38" s="301"/>
      <c r="S38" s="301"/>
      <c r="T38" s="301"/>
      <c r="U38" s="301"/>
      <c r="V38" s="309"/>
      <c r="W38" s="301"/>
      <c r="X38" s="301"/>
      <c r="Y38" s="301"/>
      <c r="Z38" s="301"/>
      <c r="AA38" s="301"/>
      <c r="AB38" s="301"/>
      <c r="AC38" s="301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1"/>
      <c r="AU38" s="301"/>
      <c r="AV38" s="301"/>
      <c r="AW38" s="301"/>
      <c r="AX38" s="301"/>
      <c r="AY38" s="301"/>
      <c r="AZ38" s="311"/>
      <c r="BA38" s="301"/>
      <c r="BB38" s="311"/>
      <c r="BC38" s="301"/>
      <c r="BD38" s="300"/>
    </row>
    <row r="39" spans="1:56" ht="9.75" customHeight="1" thickBot="1">
      <c r="A39" s="304" t="s">
        <v>67</v>
      </c>
      <c r="B39" s="304"/>
      <c r="C39" s="307">
        <v>2</v>
      </c>
      <c r="D39" s="309">
        <v>1</v>
      </c>
      <c r="E39" s="301">
        <f>D39*1000+C39</f>
        <v>1002</v>
      </c>
      <c r="F39" s="301">
        <f>RANK(E39,$E$3:$E$44,0)</f>
        <v>13</v>
      </c>
      <c r="G39" s="301">
        <f>VLOOKUP(A39,'1 тур'!$C$7:$BA$48,51,FALSE)</f>
        <v>12</v>
      </c>
      <c r="H39" s="301">
        <f>VLOOKUP(A39,'1 тур'!$C$7:$AZ$48,50,FALSE)</f>
        <v>8</v>
      </c>
      <c r="I39" s="309">
        <v>1</v>
      </c>
      <c r="J39" s="301">
        <f>I39*1000+G39*10+C39*0.01</f>
        <v>1120.02</v>
      </c>
      <c r="K39" s="301">
        <f>RANK(J39,$J$3:$J$44,0)</f>
        <v>8</v>
      </c>
      <c r="L39" s="301">
        <f>AT39+AU39</f>
        <v>21</v>
      </c>
      <c r="M39" s="301">
        <f>VLOOKUP(A39,'2 тур'!$C$7:$BA$48,51,FALSE)</f>
        <v>9</v>
      </c>
      <c r="N39" s="301">
        <f>LARGE(AT39:AU41,1)</f>
        <v>12</v>
      </c>
      <c r="O39" s="309">
        <v>1</v>
      </c>
      <c r="P39" s="301">
        <f>O39*1000+L39+N39*0.001+C39*0.00001</f>
        <v>1021.0120199999999</v>
      </c>
      <c r="Q39" s="301">
        <f>RANK(P39,$P$3:$P$44)</f>
        <v>6</v>
      </c>
      <c r="R39" s="301">
        <f>AT39+AU39+AV39</f>
        <v>36</v>
      </c>
      <c r="S39" s="301">
        <f>VLOOKUP(A39,'3 тур'!$C$7:$BA$48,51,FALSE)</f>
        <v>15</v>
      </c>
      <c r="T39" s="301">
        <f>LARGE(AT39:AV41,1)</f>
        <v>15</v>
      </c>
      <c r="U39" s="301">
        <f>LARGE(AT39:AV41,2)</f>
        <v>12</v>
      </c>
      <c r="V39" s="309"/>
      <c r="W39" s="301">
        <f>V39*1000+R39*10+T39*0.01+U39*0.0001+C39*0.00001</f>
        <v>360.15121999999997</v>
      </c>
      <c r="X39" s="301">
        <f>RANK(W39,$W$3:$W$44,0)</f>
        <v>7</v>
      </c>
      <c r="Y39" s="301">
        <f>AT39+AU39+AV39+AW39</f>
        <v>36</v>
      </c>
      <c r="Z39" s="301">
        <f>VLOOKUP(A39,'4 тур'!$C$7:$BA$48,51,FALSE)</f>
        <v>0</v>
      </c>
      <c r="AA39" s="301">
        <f>LARGE(AT39:AW41,1)</f>
        <v>15</v>
      </c>
      <c r="AB39" s="301">
        <f>LARGE(AT39:AW41,2)</f>
        <v>12</v>
      </c>
      <c r="AC39" s="301">
        <f>LARGE(AT39:AW41,3)</f>
        <v>9</v>
      </c>
      <c r="AD39" s="309"/>
      <c r="AE39" s="309">
        <f>AD39*1000+Y39*10+AA39*0.1+AB39*0.001+AC39*0.00001+C39*0.000001</f>
        <v>361.512092</v>
      </c>
      <c r="AF39" s="309">
        <f>RANK(AE39,$AE$3:$AE$44,0)</f>
        <v>7</v>
      </c>
      <c r="AG39" s="309">
        <f>AT39+AU39+AV39+AW39+AX39</f>
        <v>36</v>
      </c>
      <c r="AH39" s="309">
        <f>VLOOKUP(A39,'5 тур'!$C$7:$BA$48,51,FALSE)</f>
        <v>0</v>
      </c>
      <c r="AI39" s="309">
        <f>LARGE(AT39:AX41,1)</f>
        <v>15</v>
      </c>
      <c r="AJ39" s="309">
        <f>LARGE(AT39:AX41,2)</f>
        <v>12</v>
      </c>
      <c r="AK39" s="309">
        <f>LARGE(AT39:AX41,3)</f>
        <v>9</v>
      </c>
      <c r="AL39" s="309"/>
      <c r="AM39" s="309"/>
      <c r="AN39" s="309"/>
      <c r="AO39" s="309"/>
      <c r="AP39" s="309"/>
      <c r="AQ39" s="309"/>
      <c r="AR39" s="309"/>
      <c r="AS39" s="309"/>
      <c r="AT39" s="301">
        <f>G39</f>
        <v>12</v>
      </c>
      <c r="AU39" s="301">
        <f>M39</f>
        <v>9</v>
      </c>
      <c r="AV39" s="301">
        <f>S39</f>
        <v>15</v>
      </c>
      <c r="AW39" s="301">
        <f>Z39</f>
        <v>0</v>
      </c>
      <c r="AX39" s="301">
        <f>AH39</f>
        <v>0</v>
      </c>
      <c r="AY39" s="301" t="str">
        <f>A39</f>
        <v>Борисов Андрей
СФДМ, Москва</v>
      </c>
      <c r="AZ39" s="311">
        <f>AT39+AU39+AV39+AW39+AX39-SMALL(AT39:AX41,1)</f>
        <v>36</v>
      </c>
      <c r="BA39" s="301">
        <f>AG39*10000+AI39*100+AJ39*10+AK39*0.1</f>
        <v>361620.9</v>
      </c>
      <c r="BB39" s="311">
        <f>RANK(BA39,$BA$3:$BA$44,0)</f>
        <v>7</v>
      </c>
      <c r="BC39" s="301">
        <f>AZ39+LARGE(AT39:AX41,1)*0.01+LARGE(AT39:AX41,2)*0.0001+LARGE(AT39:AX41,3)*0.000001+LARGE(AT39:AX41,4)*0.00000001+LARGE(AT39:AX41,5)*0.0000000001</f>
        <v>36.151208999999994</v>
      </c>
      <c r="BD39" s="300">
        <f>RANK(BC39,$BC$3:$BC$44,0)</f>
        <v>7</v>
      </c>
    </row>
    <row r="40" spans="1:56" ht="9.75" customHeight="1" thickBot="1">
      <c r="A40" s="305"/>
      <c r="B40" s="305"/>
      <c r="C40" s="307"/>
      <c r="D40" s="309"/>
      <c r="E40" s="301"/>
      <c r="F40" s="301"/>
      <c r="G40" s="301"/>
      <c r="H40" s="301"/>
      <c r="I40" s="309"/>
      <c r="J40" s="301"/>
      <c r="K40" s="301"/>
      <c r="L40" s="301"/>
      <c r="M40" s="301"/>
      <c r="N40" s="301"/>
      <c r="O40" s="309"/>
      <c r="P40" s="301"/>
      <c r="Q40" s="301"/>
      <c r="R40" s="301"/>
      <c r="S40" s="301"/>
      <c r="T40" s="301"/>
      <c r="U40" s="301"/>
      <c r="V40" s="309"/>
      <c r="W40" s="301"/>
      <c r="X40" s="301"/>
      <c r="Y40" s="301"/>
      <c r="Z40" s="301"/>
      <c r="AA40" s="301"/>
      <c r="AB40" s="301"/>
      <c r="AC40" s="301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1"/>
      <c r="AU40" s="301"/>
      <c r="AV40" s="301"/>
      <c r="AW40" s="301"/>
      <c r="AX40" s="301"/>
      <c r="AY40" s="301"/>
      <c r="AZ40" s="311"/>
      <c r="BA40" s="301"/>
      <c r="BB40" s="311"/>
      <c r="BC40" s="301"/>
      <c r="BD40" s="300"/>
    </row>
    <row r="41" spans="1:56" ht="9.75" customHeight="1" thickBot="1">
      <c r="A41" s="305"/>
      <c r="B41" s="305"/>
      <c r="C41" s="307"/>
      <c r="D41" s="309"/>
      <c r="E41" s="301"/>
      <c r="F41" s="301"/>
      <c r="G41" s="301"/>
      <c r="H41" s="301"/>
      <c r="I41" s="309"/>
      <c r="J41" s="301"/>
      <c r="K41" s="301"/>
      <c r="L41" s="301"/>
      <c r="M41" s="301"/>
      <c r="N41" s="301"/>
      <c r="O41" s="309"/>
      <c r="P41" s="301"/>
      <c r="Q41" s="301"/>
      <c r="R41" s="301"/>
      <c r="S41" s="301"/>
      <c r="T41" s="301"/>
      <c r="U41" s="301"/>
      <c r="V41" s="309"/>
      <c r="W41" s="301"/>
      <c r="X41" s="301"/>
      <c r="Y41" s="301"/>
      <c r="Z41" s="301"/>
      <c r="AA41" s="301"/>
      <c r="AB41" s="301"/>
      <c r="AC41" s="301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1"/>
      <c r="AU41" s="301"/>
      <c r="AV41" s="301"/>
      <c r="AW41" s="301"/>
      <c r="AX41" s="301"/>
      <c r="AY41" s="301"/>
      <c r="AZ41" s="311"/>
      <c r="BA41" s="301"/>
      <c r="BB41" s="311"/>
      <c r="BC41" s="301"/>
      <c r="BD41" s="300"/>
    </row>
    <row r="42" spans="1:56" ht="9.75" customHeight="1" thickBot="1">
      <c r="A42" s="304" t="s">
        <v>93</v>
      </c>
      <c r="B42" s="304"/>
      <c r="C42" s="307">
        <v>1</v>
      </c>
      <c r="D42" s="309"/>
      <c r="E42" s="301">
        <f>D42*1000+C42</f>
        <v>1</v>
      </c>
      <c r="F42" s="301">
        <f>RANK(E42,$E$3:$E$44,0)</f>
        <v>14</v>
      </c>
      <c r="G42" s="301">
        <f>VLOOKUP(A42,'1 тур'!$C$7:$BA$48,51,FALSE)</f>
        <v>0</v>
      </c>
      <c r="H42" s="301">
        <f>VLOOKUP(A42,'1 тур'!$C$7:$AZ$48,50,FALSE)</f>
        <v>0</v>
      </c>
      <c r="I42" s="309">
        <v>1</v>
      </c>
      <c r="J42" s="301">
        <f>I42*1000+G42*10+C42*0.01</f>
        <v>1000.01</v>
      </c>
      <c r="K42" s="301">
        <f>RANK(J42,$J$3:$J$44,0)</f>
        <v>12</v>
      </c>
      <c r="L42" s="301">
        <f>AT42+AU42</f>
        <v>6</v>
      </c>
      <c r="M42" s="301">
        <f>VLOOKUP(A42,'2 тур'!$C$7:$BA$48,51,FALSE)</f>
        <v>6</v>
      </c>
      <c r="N42" s="301">
        <f>LARGE(AT42:AU44,1)</f>
        <v>6</v>
      </c>
      <c r="O42" s="309">
        <v>1</v>
      </c>
      <c r="P42" s="301">
        <f>O42*1000+L42+N42*0.001+C42*0.00001</f>
        <v>1006.00601</v>
      </c>
      <c r="Q42" s="301">
        <f>RANK(P42,$P$3:$P$44)</f>
        <v>10</v>
      </c>
      <c r="R42" s="301">
        <f>AT42+AU42+AV42</f>
        <v>19</v>
      </c>
      <c r="S42" s="301">
        <f>VLOOKUP(A42,'3 тур'!$C$7:$BA$48,51,FALSE)</f>
        <v>13</v>
      </c>
      <c r="T42" s="301">
        <f>LARGE(AT42:AV44,1)</f>
        <v>13</v>
      </c>
      <c r="U42" s="301">
        <f>LARGE(AT42:AV44,2)</f>
        <v>6</v>
      </c>
      <c r="V42" s="309"/>
      <c r="W42" s="309">
        <f>V42*1000+R42*10+T42*0.01+U42*0.0001+C42*0.00001</f>
        <v>190.13061</v>
      </c>
      <c r="X42" s="309">
        <f>RANK(W42,$W$3:$W$44,0)</f>
        <v>12</v>
      </c>
      <c r="Y42" s="309">
        <f>AT42+AU42+AV42+AW42</f>
        <v>19</v>
      </c>
      <c r="Z42" s="309">
        <f>VLOOKUP(A42,'4 тур'!$C$7:$BA$48,51,FALSE)</f>
        <v>0</v>
      </c>
      <c r="AA42" s="309">
        <f>LARGE(AT42:AW44,1)</f>
        <v>13</v>
      </c>
      <c r="AB42" s="309">
        <f>LARGE(AT42:AW44,2)</f>
        <v>6</v>
      </c>
      <c r="AC42" s="309">
        <f>LARGE(AT42:AW44,3)</f>
        <v>0</v>
      </c>
      <c r="AD42" s="309"/>
      <c r="AE42" s="309">
        <f>AD42*1000+Y42*10+AA42*0.1+AB42*0.001+AC42*0.00001+C42*0.000001</f>
        <v>191.306001</v>
      </c>
      <c r="AF42" s="309">
        <f>RANK(AE42,$AE$3:$AE$44,0)</f>
        <v>12</v>
      </c>
      <c r="AG42" s="309">
        <f>AT42+AU42+AV42+AW42+AX42</f>
        <v>19</v>
      </c>
      <c r="AH42" s="309">
        <f>VLOOKUP(A42,'5 тур'!$C$7:$BA$48,51,FALSE)</f>
        <v>0</v>
      </c>
      <c r="AI42" s="309">
        <f>LARGE(AT42:AX44,1)</f>
        <v>13</v>
      </c>
      <c r="AJ42" s="309">
        <f>LARGE(AT42:AX44,2)</f>
        <v>6</v>
      </c>
      <c r="AK42" s="309">
        <f>LARGE(AT42:AX44,3)</f>
        <v>0</v>
      </c>
      <c r="AL42" s="309"/>
      <c r="AM42" s="309"/>
      <c r="AN42" s="309"/>
      <c r="AO42" s="309"/>
      <c r="AP42" s="309"/>
      <c r="AQ42" s="309"/>
      <c r="AR42" s="309"/>
      <c r="AS42" s="309"/>
      <c r="AT42" s="301">
        <f>G42</f>
        <v>0</v>
      </c>
      <c r="AU42" s="301">
        <f>M42</f>
        <v>6</v>
      </c>
      <c r="AV42" s="301">
        <f>S42</f>
        <v>13</v>
      </c>
      <c r="AW42" s="301">
        <f>Z42</f>
        <v>0</v>
      </c>
      <c r="AX42" s="301">
        <f>AH42</f>
        <v>0</v>
      </c>
      <c r="AY42" s="301" t="str">
        <f>A42</f>
        <v>Ломов Аликус                      СФДМ, Москва</v>
      </c>
      <c r="AZ42" s="311">
        <f>AT42+AU42+AV42+AW42+AX42-SMALL(AT42:AX44,1)</f>
        <v>19</v>
      </c>
      <c r="BA42" s="301">
        <f>AG42*10000+AI42*100+AJ42*10+AK42*0.1</f>
        <v>191360</v>
      </c>
      <c r="BB42" s="311">
        <f>RANK(BA42,$BA$3:$BA$44,0)</f>
        <v>12</v>
      </c>
      <c r="BC42" s="301">
        <f>AZ42+LARGE(AT42:AX44,1)*0.01+LARGE(AT42:AX44,2)*0.0001+LARGE(AT42:AX44,3)*0.000001+LARGE(AT42:AX44,4)*0.00000001+LARGE(AT42:AX44,5)*0.0000000001</f>
        <v>19.130599999999998</v>
      </c>
      <c r="BD42" s="300">
        <f>RANK(BC42,$BC$3:$BC$44,0)</f>
        <v>12</v>
      </c>
    </row>
    <row r="43" spans="1:56" ht="9.75" customHeight="1" thickBot="1">
      <c r="A43" s="305"/>
      <c r="B43" s="305"/>
      <c r="C43" s="307"/>
      <c r="D43" s="309"/>
      <c r="E43" s="301"/>
      <c r="F43" s="301"/>
      <c r="G43" s="301"/>
      <c r="H43" s="301"/>
      <c r="I43" s="309"/>
      <c r="J43" s="301"/>
      <c r="K43" s="301"/>
      <c r="L43" s="301"/>
      <c r="M43" s="301"/>
      <c r="N43" s="301"/>
      <c r="O43" s="309"/>
      <c r="P43" s="301"/>
      <c r="Q43" s="301"/>
      <c r="R43" s="301"/>
      <c r="S43" s="301"/>
      <c r="T43" s="301"/>
      <c r="U43" s="301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1"/>
      <c r="AU43" s="301"/>
      <c r="AV43" s="301"/>
      <c r="AW43" s="301"/>
      <c r="AX43" s="301"/>
      <c r="AY43" s="301"/>
      <c r="AZ43" s="311"/>
      <c r="BA43" s="301"/>
      <c r="BB43" s="311"/>
      <c r="BC43" s="301"/>
      <c r="BD43" s="300"/>
    </row>
    <row r="44" spans="1:56" ht="18" customHeight="1" thickBot="1">
      <c r="A44" s="305"/>
      <c r="B44" s="305"/>
      <c r="C44" s="307"/>
      <c r="D44" s="309"/>
      <c r="E44" s="301"/>
      <c r="F44" s="301"/>
      <c r="G44" s="301"/>
      <c r="H44" s="301"/>
      <c r="I44" s="309"/>
      <c r="J44" s="301"/>
      <c r="K44" s="301"/>
      <c r="L44" s="301"/>
      <c r="M44" s="301"/>
      <c r="N44" s="301"/>
      <c r="O44" s="309"/>
      <c r="P44" s="301"/>
      <c r="Q44" s="301"/>
      <c r="R44" s="301"/>
      <c r="S44" s="301"/>
      <c r="T44" s="301"/>
      <c r="U44" s="301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1"/>
      <c r="AU44" s="301"/>
      <c r="AV44" s="301"/>
      <c r="AW44" s="301"/>
      <c r="AX44" s="301"/>
      <c r="AY44" s="301"/>
      <c r="AZ44" s="311"/>
      <c r="BA44" s="301"/>
      <c r="BB44" s="311"/>
      <c r="BC44" s="301"/>
      <c r="BD44" s="300"/>
    </row>
  </sheetData>
  <sheetProtection formatCells="0" formatColumns="0" formatRows="0" insertColumns="0" insertRows="0" deleteColumns="0" deleteRows="0"/>
  <mergeCells count="773"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AS42:AS44"/>
    <mergeCell ref="AM42:AM44"/>
    <mergeCell ref="AL42:AL44"/>
    <mergeCell ref="AT42:AT44"/>
    <mergeCell ref="AU42:AU44"/>
    <mergeCell ref="AV42:AV44"/>
    <mergeCell ref="AK42:AK44"/>
    <mergeCell ref="AN42:AN44"/>
    <mergeCell ref="AO42:AO44"/>
    <mergeCell ref="AP42:AP44"/>
    <mergeCell ref="AQ42:AQ44"/>
    <mergeCell ref="AR42:AR44"/>
    <mergeCell ref="AE42:AE44"/>
    <mergeCell ref="AF42:AF44"/>
    <mergeCell ref="AG42:AG44"/>
    <mergeCell ref="AH42:AH44"/>
    <mergeCell ref="AI42:AI44"/>
    <mergeCell ref="AJ42:AJ44"/>
    <mergeCell ref="Y42:Y44"/>
    <mergeCell ref="Z42:Z44"/>
    <mergeCell ref="AA42:AA44"/>
    <mergeCell ref="AB42:AB44"/>
    <mergeCell ref="AC42:AC44"/>
    <mergeCell ref="AD42:AD44"/>
    <mergeCell ref="S42:S44"/>
    <mergeCell ref="T42:T44"/>
    <mergeCell ref="U42:U44"/>
    <mergeCell ref="V42:V44"/>
    <mergeCell ref="W42:W44"/>
    <mergeCell ref="X42:X44"/>
    <mergeCell ref="M42:M44"/>
    <mergeCell ref="N42:N44"/>
    <mergeCell ref="O42:O44"/>
    <mergeCell ref="P42:P44"/>
    <mergeCell ref="Q42:Q44"/>
    <mergeCell ref="R42:R44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J39:AJ41"/>
    <mergeCell ref="AK39:AK41"/>
    <mergeCell ref="AL39:AL41"/>
    <mergeCell ref="AU39:AU41"/>
    <mergeCell ref="AN39:AN41"/>
    <mergeCell ref="AM39:AM41"/>
    <mergeCell ref="AD39:AD41"/>
    <mergeCell ref="AE39:AE41"/>
    <mergeCell ref="AH39:AH41"/>
    <mergeCell ref="AI39:AI41"/>
    <mergeCell ref="AF39:AF41"/>
    <mergeCell ref="AG39:AG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D39:D41"/>
    <mergeCell ref="E39:E41"/>
    <mergeCell ref="F39:F41"/>
    <mergeCell ref="H39:H41"/>
    <mergeCell ref="I39:I41"/>
    <mergeCell ref="J39:J41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W36:W38"/>
    <mergeCell ref="X36:X38"/>
    <mergeCell ref="Y36:Y38"/>
    <mergeCell ref="Z36:Z38"/>
    <mergeCell ref="AA36:AA38"/>
    <mergeCell ref="AB36:AB38"/>
    <mergeCell ref="Q36:Q38"/>
    <mergeCell ref="R36:R38"/>
    <mergeCell ref="S36:S38"/>
    <mergeCell ref="T36:T38"/>
    <mergeCell ref="U36:U38"/>
    <mergeCell ref="V36:V38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AN33:AN35"/>
    <mergeCell ref="AM33:AM35"/>
    <mergeCell ref="AL33:AL35"/>
    <mergeCell ref="AU33:AU35"/>
    <mergeCell ref="AV33:AV35"/>
    <mergeCell ref="AW33:AW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F33:AF35"/>
    <mergeCell ref="AG33:AG35"/>
    <mergeCell ref="AH33:AH35"/>
    <mergeCell ref="AI33:AI35"/>
    <mergeCell ref="AJ33:AJ35"/>
    <mergeCell ref="AK33:AK35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N33:N35"/>
    <mergeCell ref="O33:O35"/>
    <mergeCell ref="P33:P35"/>
    <mergeCell ref="Q33:Q35"/>
    <mergeCell ref="R33:R35"/>
    <mergeCell ref="S33:S35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C30:AC32"/>
    <mergeCell ref="AD30:AD32"/>
    <mergeCell ref="AE30:AE32"/>
    <mergeCell ref="AF30:AF32"/>
    <mergeCell ref="AG30:AG32"/>
    <mergeCell ref="AH30:AH32"/>
    <mergeCell ref="W30:W32"/>
    <mergeCell ref="X30:X32"/>
    <mergeCell ref="Y30:Y32"/>
    <mergeCell ref="Z30:Z32"/>
    <mergeCell ref="AA30:AA32"/>
    <mergeCell ref="AB30:AB32"/>
    <mergeCell ref="Q30:Q32"/>
    <mergeCell ref="R30:R32"/>
    <mergeCell ref="S30:S32"/>
    <mergeCell ref="T30:T32"/>
    <mergeCell ref="U30:U32"/>
    <mergeCell ref="V30:V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D30:D32"/>
    <mergeCell ref="E30:E32"/>
    <mergeCell ref="F30:F32"/>
    <mergeCell ref="H30:H32"/>
    <mergeCell ref="I30:I32"/>
    <mergeCell ref="J30:J32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AB27:AB29"/>
    <mergeCell ref="AC27:AC29"/>
    <mergeCell ref="AD27:AD29"/>
    <mergeCell ref="AE27:AE29"/>
    <mergeCell ref="AF27:AF29"/>
    <mergeCell ref="AG27:AG29"/>
    <mergeCell ref="V27:V29"/>
    <mergeCell ref="W27:W29"/>
    <mergeCell ref="X27:X29"/>
    <mergeCell ref="Y27:Y29"/>
    <mergeCell ref="Z27:Z29"/>
    <mergeCell ref="AA27:AA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AM24:AM26"/>
    <mergeCell ref="AL24:AL26"/>
    <mergeCell ref="AT24:AT26"/>
    <mergeCell ref="AI24:AI26"/>
    <mergeCell ref="AJ24:AJ26"/>
    <mergeCell ref="AK24:AK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AO21:AO23"/>
    <mergeCell ref="AP21:AP23"/>
    <mergeCell ref="AQ21:AQ23"/>
    <mergeCell ref="AR21:AR23"/>
    <mergeCell ref="AS21:AS23"/>
    <mergeCell ref="AT21:AT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B21:AB23"/>
    <mergeCell ref="AC21:AC23"/>
    <mergeCell ref="AD21:AD23"/>
    <mergeCell ref="AE21:AE23"/>
    <mergeCell ref="AF21:AF23"/>
    <mergeCell ref="AG21:AG23"/>
    <mergeCell ref="V21:V23"/>
    <mergeCell ref="W21:W23"/>
    <mergeCell ref="X21:X23"/>
    <mergeCell ref="Y21:Y23"/>
    <mergeCell ref="Z21:Z23"/>
    <mergeCell ref="AA21:AA23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E18:AE20"/>
    <mergeCell ref="AF18:AF20"/>
    <mergeCell ref="AG18:AG20"/>
    <mergeCell ref="AH18:AH20"/>
    <mergeCell ref="AI18:AI20"/>
    <mergeCell ref="AJ18:AJ20"/>
    <mergeCell ref="Y18:Y20"/>
    <mergeCell ref="Z18:Z20"/>
    <mergeCell ref="AA18:AA20"/>
    <mergeCell ref="AB18:AB20"/>
    <mergeCell ref="AC18:AC20"/>
    <mergeCell ref="AD18:AD20"/>
    <mergeCell ref="S18:S20"/>
    <mergeCell ref="T18:T20"/>
    <mergeCell ref="U18:U20"/>
    <mergeCell ref="V18:V20"/>
    <mergeCell ref="W18:W20"/>
    <mergeCell ref="X18:X20"/>
    <mergeCell ref="M18:M20"/>
    <mergeCell ref="N18:N20"/>
    <mergeCell ref="O18:O20"/>
    <mergeCell ref="P18:P20"/>
    <mergeCell ref="Q18:Q20"/>
    <mergeCell ref="R18:R20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AN15:AN17"/>
    <mergeCell ref="AM15:AM17"/>
    <mergeCell ref="AL15:AL17"/>
    <mergeCell ref="AU15:AU17"/>
    <mergeCell ref="AV15:AV17"/>
    <mergeCell ref="AW15:AW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E15:AE17"/>
    <mergeCell ref="AF15:AF17"/>
    <mergeCell ref="AG15:AG17"/>
    <mergeCell ref="AH15:AH17"/>
    <mergeCell ref="AI15:AI17"/>
    <mergeCell ref="AJ15:AJ17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AM12:AM14"/>
    <mergeCell ref="AL12:AL14"/>
    <mergeCell ref="AT12:AT14"/>
    <mergeCell ref="AU12:AU14"/>
    <mergeCell ref="AV12:AV14"/>
    <mergeCell ref="AW12:AW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D12:AD14"/>
    <mergeCell ref="AE12:AE14"/>
    <mergeCell ref="AF12:AF14"/>
    <mergeCell ref="AG12:AG14"/>
    <mergeCell ref="AH12:AH14"/>
    <mergeCell ref="AI12:AI14"/>
    <mergeCell ref="X12:X14"/>
    <mergeCell ref="Y12:Y14"/>
    <mergeCell ref="Z12:Z14"/>
    <mergeCell ref="AA12:AA14"/>
    <mergeCell ref="AB12:AB14"/>
    <mergeCell ref="AC12:AC14"/>
    <mergeCell ref="R12:R14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AT9:AT11"/>
    <mergeCell ref="AN9:AN11"/>
    <mergeCell ref="AM9:AM11"/>
    <mergeCell ref="AL9:AL11"/>
    <mergeCell ref="AU9:AU11"/>
    <mergeCell ref="AV9:AV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AS6:AS8"/>
    <mergeCell ref="AM6:AM8"/>
    <mergeCell ref="AL6:AL8"/>
    <mergeCell ref="AT6:AT8"/>
    <mergeCell ref="AU6:AU8"/>
    <mergeCell ref="AV6:AV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K6:K8"/>
    <mergeCell ref="L6:L8"/>
    <mergeCell ref="M6:M8"/>
    <mergeCell ref="N6:N8"/>
    <mergeCell ref="O6:O8"/>
    <mergeCell ref="P6:P8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AS3:AS5"/>
    <mergeCell ref="AT3:AT5"/>
    <mergeCell ref="AN3:AN5"/>
    <mergeCell ref="AM3:AM5"/>
    <mergeCell ref="AL3:AL5"/>
    <mergeCell ref="AU3:AU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D3:D5"/>
    <mergeCell ref="E3:E5"/>
    <mergeCell ref="F3:F5"/>
    <mergeCell ref="H3:H5"/>
    <mergeCell ref="I3:I5"/>
    <mergeCell ref="J3:J5"/>
    <mergeCell ref="C27:C29"/>
    <mergeCell ref="C30:C32"/>
    <mergeCell ref="C33:C35"/>
    <mergeCell ref="C36:C38"/>
    <mergeCell ref="C39:C41"/>
    <mergeCell ref="C42:C44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A21:B23"/>
    <mergeCell ref="A24:B26"/>
    <mergeCell ref="A27:B29"/>
    <mergeCell ref="A30:B32"/>
    <mergeCell ref="A33:B35"/>
    <mergeCell ref="A36:B38"/>
    <mergeCell ref="A3:B5"/>
    <mergeCell ref="A6:B8"/>
    <mergeCell ref="A9:B11"/>
    <mergeCell ref="A12:B14"/>
    <mergeCell ref="A15:B17"/>
    <mergeCell ref="A18:B20"/>
    <mergeCell ref="BC3:BC5"/>
    <mergeCell ref="BC6:BC8"/>
    <mergeCell ref="BC9:BC11"/>
    <mergeCell ref="BC12:BC14"/>
    <mergeCell ref="BC15:BC17"/>
    <mergeCell ref="BC18:BC20"/>
    <mergeCell ref="BC21:BC23"/>
    <mergeCell ref="BC24:BC26"/>
    <mergeCell ref="BC27:BC29"/>
    <mergeCell ref="BC30:BC32"/>
    <mergeCell ref="BC33:BC35"/>
    <mergeCell ref="BC36:BC38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D27:BD29"/>
    <mergeCell ref="BD30:BD32"/>
    <mergeCell ref="BD33:BD35"/>
    <mergeCell ref="BD36:BD38"/>
    <mergeCell ref="BD39:BD41"/>
    <mergeCell ref="BD42:BD44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60" zoomScaleNormal="60" zoomScalePageLayoutView="0" workbookViewId="0" topLeftCell="A1">
      <selection activeCell="AV25" sqref="AV25:AV27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33" width="3.7109375" style="22" customWidth="1"/>
    <col min="34" max="34" width="4.140625" style="22" customWidth="1"/>
    <col min="35" max="36" width="3.7109375" style="22" customWidth="1"/>
    <col min="37" max="37" width="4.421875" style="22" customWidth="1"/>
    <col min="38" max="39" width="3.7109375" style="22" customWidth="1"/>
    <col min="40" max="40" width="4.421875" style="22" customWidth="1"/>
    <col min="41" max="42" width="3.7109375" style="22" customWidth="1"/>
    <col min="43" max="43" width="4.421875" style="22" customWidth="1"/>
    <col min="44" max="45" width="3.7109375" style="22" customWidth="1"/>
    <col min="46" max="46" width="4.140625" style="22" customWidth="1"/>
    <col min="47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16.2812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80" width="9.140625" style="22" hidden="1" customWidth="1"/>
    <col min="81" max="16384" width="9.140625" style="22" customWidth="1"/>
  </cols>
  <sheetData>
    <row r="1" spans="1:38" ht="12.75" customHeight="1">
      <c r="A1" s="237" t="s">
        <v>94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  <c r="L1" s="243" t="s">
        <v>96</v>
      </c>
      <c r="M1" s="244"/>
      <c r="N1" s="244"/>
      <c r="O1" s="244"/>
      <c r="P1" s="244"/>
      <c r="Q1" s="244"/>
      <c r="R1" s="244"/>
      <c r="S1" s="244"/>
      <c r="T1" s="245"/>
      <c r="U1" s="249">
        <v>43505</v>
      </c>
      <c r="V1" s="250"/>
      <c r="W1" s="250"/>
      <c r="X1" s="250"/>
      <c r="Y1" s="250"/>
      <c r="Z1" s="251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2"/>
      <c r="L2" s="246"/>
      <c r="M2" s="247"/>
      <c r="N2" s="247"/>
      <c r="O2" s="247"/>
      <c r="P2" s="247"/>
      <c r="Q2" s="247"/>
      <c r="R2" s="247"/>
      <c r="S2" s="247"/>
      <c r="T2" s="248"/>
      <c r="U2" s="252"/>
      <c r="V2" s="253"/>
      <c r="W2" s="253"/>
      <c r="X2" s="253"/>
      <c r="Y2" s="253"/>
      <c r="Z2" s="254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246"/>
      <c r="M3" s="247"/>
      <c r="N3" s="247"/>
      <c r="O3" s="247"/>
      <c r="P3" s="247"/>
      <c r="Q3" s="247"/>
      <c r="R3" s="247"/>
      <c r="S3" s="247"/>
      <c r="T3" s="248"/>
      <c r="U3" s="252"/>
      <c r="V3" s="253"/>
      <c r="W3" s="253"/>
      <c r="X3" s="253"/>
      <c r="Y3" s="253"/>
      <c r="Z3" s="254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185" t="s">
        <v>16</v>
      </c>
      <c r="B4" s="219" t="s">
        <v>19</v>
      </c>
      <c r="C4" s="220"/>
      <c r="D4" s="220"/>
      <c r="E4" s="221"/>
      <c r="F4" s="57"/>
      <c r="G4" s="204"/>
      <c r="H4" s="205"/>
      <c r="I4" s="57"/>
      <c r="J4" s="204"/>
      <c r="K4" s="205"/>
      <c r="L4" s="57"/>
      <c r="M4" s="204"/>
      <c r="N4" s="205"/>
      <c r="O4" s="57"/>
      <c r="P4" s="204"/>
      <c r="Q4" s="205"/>
      <c r="R4" s="57"/>
      <c r="S4" s="204"/>
      <c r="T4" s="205"/>
      <c r="U4" s="57"/>
      <c r="V4" s="204"/>
      <c r="W4" s="205"/>
      <c r="X4" s="57"/>
      <c r="Y4" s="204"/>
      <c r="Z4" s="205"/>
      <c r="AA4" s="57"/>
      <c r="AB4" s="58"/>
      <c r="AC4" s="59"/>
      <c r="AD4" s="57"/>
      <c r="AE4" s="204"/>
      <c r="AF4" s="205"/>
      <c r="AG4" s="57"/>
      <c r="AH4" s="204"/>
      <c r="AI4" s="205"/>
      <c r="AJ4" s="57"/>
      <c r="AK4" s="204"/>
      <c r="AL4" s="205"/>
      <c r="AM4" s="57"/>
      <c r="AN4" s="204"/>
      <c r="AO4" s="205"/>
      <c r="AP4" s="130"/>
      <c r="AQ4" s="268"/>
      <c r="AR4" s="269"/>
      <c r="AS4" s="130"/>
      <c r="AT4" s="268"/>
      <c r="AU4" s="269"/>
      <c r="AV4" s="208" t="s">
        <v>0</v>
      </c>
      <c r="AW4" s="192" t="s">
        <v>9</v>
      </c>
      <c r="AX4" s="193"/>
      <c r="AY4" s="194"/>
      <c r="AZ4" s="192" t="s">
        <v>1</v>
      </c>
      <c r="BA4" s="185" t="s">
        <v>14</v>
      </c>
      <c r="BB4" s="185" t="s">
        <v>15</v>
      </c>
      <c r="BC4" s="60" t="s">
        <v>10</v>
      </c>
      <c r="BD4" s="181">
        <v>180</v>
      </c>
      <c r="BE4" s="263" t="s">
        <v>21</v>
      </c>
      <c r="BG4" s="258" t="s">
        <v>18</v>
      </c>
      <c r="BH4" s="258" t="s">
        <v>17</v>
      </c>
      <c r="BK4" s="55"/>
    </row>
    <row r="5" spans="1:63" ht="18" customHeight="1">
      <c r="A5" s="186"/>
      <c r="B5" s="222"/>
      <c r="C5" s="223"/>
      <c r="D5" s="223"/>
      <c r="E5" s="224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131"/>
      <c r="AQ5" s="132">
        <v>13</v>
      </c>
      <c r="AR5" s="133"/>
      <c r="AS5" s="131"/>
      <c r="AT5" s="132">
        <v>14</v>
      </c>
      <c r="AU5" s="133"/>
      <c r="AV5" s="209"/>
      <c r="AW5" s="195"/>
      <c r="AX5" s="196"/>
      <c r="AY5" s="197"/>
      <c r="AZ5" s="195"/>
      <c r="BA5" s="186"/>
      <c r="BB5" s="186"/>
      <c r="BC5" s="30" t="s">
        <v>11</v>
      </c>
      <c r="BD5" s="182"/>
      <c r="BE5" s="264"/>
      <c r="BG5" s="258"/>
      <c r="BH5" s="258"/>
      <c r="BK5" s="55"/>
    </row>
    <row r="6" spans="1:64" ht="18" customHeight="1" thickBot="1">
      <c r="A6" s="187"/>
      <c r="B6" s="225"/>
      <c r="C6" s="226"/>
      <c r="D6" s="226"/>
      <c r="E6" s="227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134"/>
      <c r="AQ6" s="135"/>
      <c r="AR6" s="136"/>
      <c r="AS6" s="134"/>
      <c r="AT6" s="135"/>
      <c r="AU6" s="136"/>
      <c r="AV6" s="210"/>
      <c r="AW6" s="198"/>
      <c r="AX6" s="199"/>
      <c r="AY6" s="200"/>
      <c r="AZ6" s="198"/>
      <c r="BA6" s="187"/>
      <c r="BB6" s="187"/>
      <c r="BC6" s="37" t="s">
        <v>12</v>
      </c>
      <c r="BD6" s="182"/>
      <c r="BE6" s="264"/>
      <c r="BG6" s="258"/>
      <c r="BH6" s="258"/>
      <c r="BK6" s="22" t="s">
        <v>48</v>
      </c>
      <c r="BL6" s="22" t="s">
        <v>49</v>
      </c>
    </row>
    <row r="7" spans="1:80" ht="18" customHeight="1" thickBot="1" thickTop="1">
      <c r="A7" s="234">
        <f>VLOOKUP(C7,Исходник!$A$3:$G$44,7,FALSE)</f>
        <v>30</v>
      </c>
      <c r="B7" s="84"/>
      <c r="C7" s="166" t="str">
        <f>VLOOKUP(B8,Исходник!$K$3:Исходник!$AY$44,41,FALSE)</f>
        <v>Сущенко Сергей
СФДМ, Москва</v>
      </c>
      <c r="D7" s="166"/>
      <c r="E7" s="167"/>
      <c r="F7" s="26"/>
      <c r="G7" s="211"/>
      <c r="H7" s="211"/>
      <c r="I7" s="38">
        <v>1</v>
      </c>
      <c r="J7" s="188">
        <v>20.93</v>
      </c>
      <c r="K7" s="189"/>
      <c r="L7" s="38"/>
      <c r="M7" s="188">
        <v>20.16</v>
      </c>
      <c r="N7" s="189"/>
      <c r="O7" s="38"/>
      <c r="P7" s="188">
        <v>20.88</v>
      </c>
      <c r="Q7" s="189"/>
      <c r="R7" s="38"/>
      <c r="S7" s="188">
        <v>19.73</v>
      </c>
      <c r="T7" s="189"/>
      <c r="U7" s="38"/>
      <c r="V7" s="188">
        <v>19.62</v>
      </c>
      <c r="W7" s="189"/>
      <c r="X7" s="38"/>
      <c r="Y7" s="188">
        <v>20.76</v>
      </c>
      <c r="Z7" s="189"/>
      <c r="AA7" s="38"/>
      <c r="AB7" s="188">
        <v>17.36</v>
      </c>
      <c r="AC7" s="189"/>
      <c r="AD7" s="38"/>
      <c r="AE7" s="188">
        <v>19.69</v>
      </c>
      <c r="AF7" s="189"/>
      <c r="AG7" s="38"/>
      <c r="AH7" s="188">
        <v>17.8</v>
      </c>
      <c r="AI7" s="189"/>
      <c r="AJ7" s="38">
        <v>1</v>
      </c>
      <c r="AK7" s="188">
        <v>23.66</v>
      </c>
      <c r="AL7" s="189"/>
      <c r="AM7" s="38">
        <v>1</v>
      </c>
      <c r="AN7" s="188">
        <v>21.2</v>
      </c>
      <c r="AO7" s="189"/>
      <c r="AP7" s="137"/>
      <c r="AQ7" s="270"/>
      <c r="AR7" s="271"/>
      <c r="AS7" s="137"/>
      <c r="AT7" s="270"/>
      <c r="AU7" s="271"/>
      <c r="AV7" s="201">
        <f>COUNTIF(F8:AU8,"в")</f>
        <v>8</v>
      </c>
      <c r="AW7" s="179">
        <f>F8+I8+L8+O8+R8+U8+X8+AA8+AD8+AG8+AJ8+AM8+AP8+AS8</f>
        <v>28</v>
      </c>
      <c r="AX7" s="184" t="s">
        <v>2</v>
      </c>
      <c r="AY7" s="183">
        <f>AU8+AR8+AO8+AL8+AI8+AF8+AC8+Z8+W8+T8+Q8+N8+K8+H8</f>
        <v>17</v>
      </c>
      <c r="AZ7" s="175">
        <f>IF(BL7=0,0,RANK(BL7,$BL$7:$BL$48,0))</f>
        <v>3</v>
      </c>
      <c r="BA7" s="174">
        <f>IF(BL7=0,0,VLOOKUP(AZ7,$BG$7:$BH$48,2,FALSE))</f>
        <v>23</v>
      </c>
      <c r="BB7" s="180">
        <f>A7+BA7</f>
        <v>53</v>
      </c>
      <c r="BC7" s="39">
        <f>AVERAGE(G7,J7,M7,P7,S7,V7,Y7,AB7,AE7,AH7,AK7,AN7,AQ7,AT7)</f>
        <v>20.16272727272727</v>
      </c>
      <c r="BD7" s="173">
        <f>F7+AS7+AP7+AM7+AJ7+AG7+AD7+AA7+X7+U7+R7+O7+L7+I7</f>
        <v>3</v>
      </c>
      <c r="BE7" s="265"/>
      <c r="BG7" s="236">
        <v>1</v>
      </c>
      <c r="BH7" s="236">
        <v>30</v>
      </c>
      <c r="BK7" s="164">
        <f>IF((AV7+AW9*0.001)=0,0,AV7+AW9*0.001+1)</f>
        <v>9.011</v>
      </c>
      <c r="BL7" s="165">
        <f>BK7+CB7*0.0001</f>
        <v>9.011</v>
      </c>
      <c r="BM7" s="88"/>
      <c r="BN7" s="89">
        <f>IF(F8&gt;H8,1,0)+(F8-H8)*0.1</f>
        <v>0</v>
      </c>
      <c r="BO7" s="90">
        <f>IF(I8&gt;K8,1,0)+(I8-K8)*0.1</f>
        <v>1.1</v>
      </c>
      <c r="BP7" s="90">
        <f>IF(L8&gt;N8,1,0)+(L8-N8)*0.1</f>
        <v>-0.2</v>
      </c>
      <c r="BQ7" s="90">
        <f>IF(O8&gt;Q8,1,0)+(O8-Q8)*0.1</f>
        <v>1.2</v>
      </c>
      <c r="BR7" s="90">
        <f>IF(R8&gt;T8,1,0)+(R8-T8)*0.1</f>
        <v>-0.2</v>
      </c>
      <c r="BS7" s="90">
        <f>IF(U8&gt;W8,1,0)+(U8-W8)*0.1</f>
        <v>1.1</v>
      </c>
      <c r="BT7" s="88">
        <f>IF(X8&gt;Z8,1,0)+(X8-Z8)*0.1</f>
        <v>-0.1</v>
      </c>
      <c r="BU7" s="88">
        <f>IF(AA8&gt;AC8,1,0)+(AA8-AC8)*0.1</f>
        <v>1.2</v>
      </c>
      <c r="BV7" s="88">
        <f>IF(AD8&gt;AF8,1,0)+(AD8-AF8)*0.1</f>
        <v>1.2</v>
      </c>
      <c r="BW7" s="88">
        <f>IF(AG8&gt;AI8,1,0)+(AG8-AI8)*0.1</f>
        <v>1.2</v>
      </c>
      <c r="BX7" s="88">
        <f>IF(AJ8&gt;AL8,1,0)+(AJ8-AL8)*0.1</f>
        <v>1.3</v>
      </c>
      <c r="BY7" s="88">
        <f>IF(AM8&gt;AO8,1,0)+(AM8-AO8)*0.1</f>
        <v>1.3</v>
      </c>
      <c r="BZ7" s="88">
        <f>IF(AP8&gt;AR8,1,0)+(AP8-AR8)*0.1</f>
        <v>0</v>
      </c>
      <c r="CA7" s="88">
        <f>IF(AS8&gt;AU8,1,0)+(AS8-AU8)*0.1</f>
        <v>0</v>
      </c>
      <c r="CB7" s="165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34"/>
      <c r="B8" s="85">
        <v>1</v>
      </c>
      <c r="C8" s="168"/>
      <c r="D8" s="168"/>
      <c r="E8" s="169"/>
      <c r="F8" s="40"/>
      <c r="G8" s="28">
        <v>1</v>
      </c>
      <c r="H8" s="41"/>
      <c r="I8" s="42">
        <v>3</v>
      </c>
      <c r="J8" s="120" t="str">
        <f>IF(I8&gt;K8,"в","")</f>
        <v>в</v>
      </c>
      <c r="K8" s="43">
        <v>2</v>
      </c>
      <c r="L8" s="42">
        <v>1</v>
      </c>
      <c r="M8" s="122">
        <f>IF(L8&gt;N8,"в","")</f>
      </c>
      <c r="N8" s="43">
        <v>3</v>
      </c>
      <c r="O8" s="42">
        <v>3</v>
      </c>
      <c r="P8" s="120" t="str">
        <f>IF(O8&gt;Q8,"в","")</f>
        <v>в</v>
      </c>
      <c r="Q8" s="43">
        <v>1</v>
      </c>
      <c r="R8" s="42">
        <v>1</v>
      </c>
      <c r="S8" s="122">
        <f>IF(R8&gt;T8,"в","")</f>
      </c>
      <c r="T8" s="43">
        <v>3</v>
      </c>
      <c r="U8" s="42">
        <v>3</v>
      </c>
      <c r="V8" s="120" t="str">
        <f>IF(U8&gt;W8,"в","")</f>
        <v>в</v>
      </c>
      <c r="W8" s="43">
        <v>2</v>
      </c>
      <c r="X8" s="42">
        <v>2</v>
      </c>
      <c r="Y8" s="122">
        <f>IF(X8&gt;Z8,"в","")</f>
      </c>
      <c r="Z8" s="43">
        <v>3</v>
      </c>
      <c r="AA8" s="42">
        <v>3</v>
      </c>
      <c r="AB8" s="120" t="str">
        <f>IF(AA8&gt;AC8,"в","")</f>
        <v>в</v>
      </c>
      <c r="AC8" s="43">
        <v>1</v>
      </c>
      <c r="AD8" s="42">
        <v>3</v>
      </c>
      <c r="AE8" s="120" t="str">
        <f>IF(AD8&gt;AF8,"в","")</f>
        <v>в</v>
      </c>
      <c r="AF8" s="43">
        <v>1</v>
      </c>
      <c r="AG8" s="42">
        <v>3</v>
      </c>
      <c r="AH8" s="120" t="str">
        <f>IF(AG8&gt;AI8,"в","")</f>
        <v>в</v>
      </c>
      <c r="AI8" s="43">
        <v>1</v>
      </c>
      <c r="AJ8" s="42">
        <v>3</v>
      </c>
      <c r="AK8" s="120" t="str">
        <f>IF(AJ8&gt;AL8,"в","")</f>
        <v>в</v>
      </c>
      <c r="AL8" s="43">
        <v>0</v>
      </c>
      <c r="AM8" s="42">
        <v>3</v>
      </c>
      <c r="AN8" s="120" t="str">
        <f>IF(AM8&gt;AO8,"в","")</f>
        <v>в</v>
      </c>
      <c r="AO8" s="43">
        <v>0</v>
      </c>
      <c r="AP8" s="138"/>
      <c r="AQ8" s="139">
        <f>IF(AP8&gt;AR8,"в","")</f>
      </c>
      <c r="AR8" s="140"/>
      <c r="AS8" s="138"/>
      <c r="AT8" s="139">
        <f>IF(AS8&gt;AU8,"в","")</f>
      </c>
      <c r="AU8" s="140"/>
      <c r="AV8" s="202"/>
      <c r="AW8" s="179"/>
      <c r="AX8" s="184"/>
      <c r="AY8" s="183"/>
      <c r="AZ8" s="176"/>
      <c r="BA8" s="174"/>
      <c r="BB8" s="180"/>
      <c r="BC8" s="44">
        <f>BC7*3</f>
        <v>60.488181818181815</v>
      </c>
      <c r="BD8" s="173"/>
      <c r="BE8" s="266"/>
      <c r="BG8" s="236"/>
      <c r="BH8" s="236"/>
      <c r="BK8" s="164"/>
      <c r="BL8" s="165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65"/>
    </row>
    <row r="9" spans="1:80" ht="18" customHeight="1" thickBot="1" thickTop="1">
      <c r="A9" s="234"/>
      <c r="B9" s="86"/>
      <c r="C9" s="170"/>
      <c r="D9" s="170"/>
      <c r="E9" s="171"/>
      <c r="F9" s="45"/>
      <c r="G9" s="46"/>
      <c r="H9" s="46"/>
      <c r="I9" s="47">
        <v>18</v>
      </c>
      <c r="J9" s="48">
        <v>23</v>
      </c>
      <c r="K9" s="49">
        <v>26</v>
      </c>
      <c r="L9" s="47">
        <v>23</v>
      </c>
      <c r="M9" s="48"/>
      <c r="N9" s="49"/>
      <c r="O9" s="47">
        <v>33</v>
      </c>
      <c r="P9" s="48">
        <v>21</v>
      </c>
      <c r="Q9" s="49">
        <v>17</v>
      </c>
      <c r="R9" s="47">
        <v>27</v>
      </c>
      <c r="S9" s="48"/>
      <c r="T9" s="49"/>
      <c r="U9" s="47">
        <v>24</v>
      </c>
      <c r="V9" s="48">
        <v>18</v>
      </c>
      <c r="W9" s="49">
        <v>30</v>
      </c>
      <c r="X9" s="47">
        <v>21</v>
      </c>
      <c r="Y9" s="48">
        <v>26</v>
      </c>
      <c r="Z9" s="49"/>
      <c r="AA9" s="47">
        <v>20</v>
      </c>
      <c r="AB9" s="48">
        <v>30</v>
      </c>
      <c r="AC9" s="49">
        <v>23</v>
      </c>
      <c r="AD9" s="47">
        <v>29</v>
      </c>
      <c r="AE9" s="48">
        <v>24</v>
      </c>
      <c r="AF9" s="49">
        <v>23</v>
      </c>
      <c r="AG9" s="47">
        <v>34</v>
      </c>
      <c r="AH9" s="48">
        <v>18</v>
      </c>
      <c r="AI9" s="49">
        <v>27</v>
      </c>
      <c r="AJ9" s="47">
        <v>18</v>
      </c>
      <c r="AK9" s="48">
        <v>17</v>
      </c>
      <c r="AL9" s="49">
        <v>25</v>
      </c>
      <c r="AM9" s="47">
        <v>22</v>
      </c>
      <c r="AN9" s="48">
        <v>25</v>
      </c>
      <c r="AO9" s="49">
        <v>24</v>
      </c>
      <c r="AP9" s="141"/>
      <c r="AQ9" s="142"/>
      <c r="AR9" s="143"/>
      <c r="AS9" s="141"/>
      <c r="AT9" s="142"/>
      <c r="AU9" s="143"/>
      <c r="AV9" s="203"/>
      <c r="AW9" s="178">
        <f>AW7-AY7</f>
        <v>11</v>
      </c>
      <c r="AX9" s="178"/>
      <c r="AY9" s="178"/>
      <c r="AZ9" s="177"/>
      <c r="BA9" s="174"/>
      <c r="BB9" s="180"/>
      <c r="BC9" s="50">
        <f>AVERAGE(F9:AU9)</f>
        <v>23.785714285714285</v>
      </c>
      <c r="BD9" s="173"/>
      <c r="BE9" s="267"/>
      <c r="BG9" s="236"/>
      <c r="BH9" s="236"/>
      <c r="BK9" s="164"/>
      <c r="BL9" s="165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65"/>
    </row>
    <row r="10" spans="1:80" ht="18" customHeight="1" thickBot="1" thickTop="1">
      <c r="A10" s="234">
        <f>VLOOKUP(C10,Исходник!$A$3:$G$44,7,FALSE)</f>
        <v>26</v>
      </c>
      <c r="B10" s="84"/>
      <c r="C10" s="166" t="str">
        <f>VLOOKUP(B11,Исходник!$K$3:Исходник!$AY$44,41,FALSE)</f>
        <v>Соболев Артем
СФДМ, Москва</v>
      </c>
      <c r="D10" s="166"/>
      <c r="E10" s="167"/>
      <c r="F10" s="51"/>
      <c r="G10" s="188">
        <v>20.58</v>
      </c>
      <c r="H10" s="189"/>
      <c r="I10" s="25"/>
      <c r="J10" s="211"/>
      <c r="K10" s="212"/>
      <c r="L10" s="38"/>
      <c r="M10" s="188">
        <v>18.11</v>
      </c>
      <c r="N10" s="189"/>
      <c r="O10" s="38"/>
      <c r="P10" s="188"/>
      <c r="Q10" s="189"/>
      <c r="R10" s="38"/>
      <c r="S10" s="188">
        <v>21.8</v>
      </c>
      <c r="T10" s="189"/>
      <c r="U10" s="38"/>
      <c r="V10" s="188">
        <v>20.3</v>
      </c>
      <c r="W10" s="189"/>
      <c r="X10" s="38"/>
      <c r="Y10" s="188">
        <v>18.8</v>
      </c>
      <c r="Z10" s="189"/>
      <c r="AA10" s="38"/>
      <c r="AB10" s="188">
        <v>23.65</v>
      </c>
      <c r="AC10" s="189"/>
      <c r="AD10" s="38"/>
      <c r="AE10" s="188">
        <v>19.23</v>
      </c>
      <c r="AF10" s="189"/>
      <c r="AG10" s="38"/>
      <c r="AH10" s="188">
        <v>22.1</v>
      </c>
      <c r="AI10" s="189"/>
      <c r="AJ10" s="38"/>
      <c r="AK10" s="188">
        <v>17.56</v>
      </c>
      <c r="AL10" s="189"/>
      <c r="AM10" s="38"/>
      <c r="AN10" s="188">
        <v>19.42</v>
      </c>
      <c r="AO10" s="189"/>
      <c r="AP10" s="137"/>
      <c r="AQ10" s="270"/>
      <c r="AR10" s="271"/>
      <c r="AS10" s="137"/>
      <c r="AT10" s="270"/>
      <c r="AU10" s="271"/>
      <c r="AV10" s="201">
        <f>COUNTIF(F11:AU11,"в")</f>
        <v>9</v>
      </c>
      <c r="AW10" s="179">
        <f>F11+I11+L11+O11+R11+U11+X11+AA11+AD11+AG11+AJ11+AM11+AP11+AS11</f>
        <v>31</v>
      </c>
      <c r="AX10" s="184" t="s">
        <v>2</v>
      </c>
      <c r="AY10" s="183">
        <f>AU11+AR11+AO11+AL11+AI11+AF11+AC11+Z11+W11+T11+Q11+N11+K11+H11</f>
        <v>14</v>
      </c>
      <c r="AZ10" s="175">
        <f>IF(BL10=0,0,RANK(BL10,$BL$7:$BL$48,0))</f>
        <v>1</v>
      </c>
      <c r="BA10" s="174">
        <f>IF(BL10=0,0,VLOOKUP(AZ10,$BG$7:$BH$48,2,FALSE))</f>
        <v>30</v>
      </c>
      <c r="BB10" s="180">
        <f>A10+BA10</f>
        <v>56</v>
      </c>
      <c r="BC10" s="39">
        <f>AVERAGE(G10,J10,M10,P10,S10,V10,Y10,AB10,AE10,AH10,AK10,AN10,AQ10,AT10)</f>
        <v>20.154999999999994</v>
      </c>
      <c r="BD10" s="172">
        <f>F10+AS10+AP10+AM10+AJ10+AG10+AD10+AA10+X10+U10+R10+O10+L10+I10</f>
        <v>0</v>
      </c>
      <c r="BE10" s="259"/>
      <c r="BG10" s="236">
        <v>2</v>
      </c>
      <c r="BH10" s="236">
        <v>26</v>
      </c>
      <c r="BK10" s="164">
        <f>IF((AV10+AW12*0.001)=0,0,AV10+AW12*0.001+1)</f>
        <v>10.017</v>
      </c>
      <c r="BL10" s="165">
        <f>BK10+CB10*0.0001</f>
        <v>10.017</v>
      </c>
      <c r="BM10" s="88"/>
      <c r="BN10" s="89">
        <f>IF(I11&gt;K11,1,0)+(I11-K11)*0.1</f>
        <v>0</v>
      </c>
      <c r="BO10" s="90">
        <f>IF(L11&gt;N11,1,0)+(L11-N11)*0.1</f>
        <v>1.3</v>
      </c>
      <c r="BP10" s="90">
        <f>IF(O11&gt;Q11,1,0)+(O11-Q11)*0.1</f>
        <v>1.3</v>
      </c>
      <c r="BQ10" s="90">
        <f>IF(R11&gt;T11,1,0)+(R11-T11)*0.1</f>
        <v>1.2</v>
      </c>
      <c r="BR10" s="90">
        <f>IF(U11&gt;W11,1,0)+(U11-W11)*0.1</f>
        <v>1.2</v>
      </c>
      <c r="BS10" s="90">
        <f>IF(X11&gt;Z11,1,0)+(X11-Z11)*0.1</f>
        <v>1.2</v>
      </c>
      <c r="BT10" s="90">
        <f>IF(AA11&gt;AC11,1,0)+(AA11-AC11)*0.1</f>
        <v>1.1</v>
      </c>
      <c r="BU10" s="90">
        <f>IF(AD11&gt;AF11,1,0)+(AD11-AF11)*0.1</f>
        <v>1.2</v>
      </c>
      <c r="BV10" s="90">
        <f>IF(AG11&gt;AI11,1,0)+(AG11-AI11)*0.1</f>
        <v>1.3</v>
      </c>
      <c r="BW10" s="90">
        <f>IF(AJ11&gt;AL11,1,0)+(AJ11-AL11)*0.1</f>
        <v>1.1</v>
      </c>
      <c r="BX10" s="90">
        <f>IF(AM11&gt;AO11,1,0)+(AM11-AO11)*0.1</f>
        <v>-0.1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-0.1</v>
      </c>
      <c r="CB10" s="165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34"/>
      <c r="B11" s="85">
        <v>2</v>
      </c>
      <c r="C11" s="168"/>
      <c r="D11" s="168"/>
      <c r="E11" s="169"/>
      <c r="F11" s="42">
        <f>K8</f>
        <v>2</v>
      </c>
      <c r="G11" s="122">
        <f>IF(F11&gt;H11,"в","")</f>
      </c>
      <c r="H11" s="43">
        <f>I8</f>
        <v>3</v>
      </c>
      <c r="I11" s="40"/>
      <c r="J11" s="28">
        <v>2</v>
      </c>
      <c r="K11" s="52"/>
      <c r="L11" s="42">
        <v>3</v>
      </c>
      <c r="M11" s="120" t="str">
        <f>IF(L11&gt;N11,"в","")</f>
        <v>в</v>
      </c>
      <c r="N11" s="43">
        <v>0</v>
      </c>
      <c r="O11" s="42">
        <v>3</v>
      </c>
      <c r="P11" s="120" t="str">
        <f>IF(O11&gt;Q11,"в","")</f>
        <v>в</v>
      </c>
      <c r="Q11" s="43">
        <v>0</v>
      </c>
      <c r="R11" s="42">
        <v>3</v>
      </c>
      <c r="S11" s="120" t="str">
        <f>IF(R11&gt;T11,"в","")</f>
        <v>в</v>
      </c>
      <c r="T11" s="43">
        <v>1</v>
      </c>
      <c r="U11" s="42">
        <v>3</v>
      </c>
      <c r="V11" s="120" t="str">
        <f>IF(U11&gt;W11,"в","")</f>
        <v>в</v>
      </c>
      <c r="W11" s="43">
        <v>1</v>
      </c>
      <c r="X11" s="42">
        <v>3</v>
      </c>
      <c r="Y11" s="120" t="str">
        <f>IF(X11&gt;Z11,"в","")</f>
        <v>в</v>
      </c>
      <c r="Z11" s="43">
        <v>1</v>
      </c>
      <c r="AA11" s="42">
        <v>3</v>
      </c>
      <c r="AB11" s="120" t="str">
        <f>IF(AA11&gt;AC11,"в","")</f>
        <v>в</v>
      </c>
      <c r="AC11" s="43">
        <v>2</v>
      </c>
      <c r="AD11" s="42">
        <v>3</v>
      </c>
      <c r="AE11" s="120" t="str">
        <f>IF(AD11&gt;AF11,"в","")</f>
        <v>в</v>
      </c>
      <c r="AF11" s="43">
        <v>1</v>
      </c>
      <c r="AG11" s="42">
        <v>3</v>
      </c>
      <c r="AH11" s="120" t="str">
        <f>IF(AG11&gt;AI11,"в","")</f>
        <v>в</v>
      </c>
      <c r="AI11" s="43">
        <v>0</v>
      </c>
      <c r="AJ11" s="42">
        <v>3</v>
      </c>
      <c r="AK11" s="120" t="str">
        <f>IF(AJ11&gt;AL11,"в","")</f>
        <v>в</v>
      </c>
      <c r="AL11" s="43">
        <v>2</v>
      </c>
      <c r="AM11" s="42">
        <v>2</v>
      </c>
      <c r="AN11" s="122">
        <f>IF(AM11&gt;AO11,"в","")</f>
      </c>
      <c r="AO11" s="43">
        <v>3</v>
      </c>
      <c r="AP11" s="138"/>
      <c r="AQ11" s="139">
        <f>IF(AP11&gt;AR11,"в","")</f>
      </c>
      <c r="AR11" s="140"/>
      <c r="AS11" s="138"/>
      <c r="AT11" s="139">
        <f>IF(AS11&gt;AU11,"в","")</f>
      </c>
      <c r="AU11" s="140"/>
      <c r="AV11" s="202"/>
      <c r="AW11" s="179"/>
      <c r="AX11" s="184"/>
      <c r="AY11" s="183"/>
      <c r="AZ11" s="176"/>
      <c r="BA11" s="174"/>
      <c r="BB11" s="180"/>
      <c r="BC11" s="44">
        <f>BC10*3</f>
        <v>60.46499999999998</v>
      </c>
      <c r="BD11" s="173"/>
      <c r="BE11" s="260"/>
      <c r="BG11" s="236"/>
      <c r="BH11" s="236"/>
      <c r="BK11" s="164"/>
      <c r="BL11" s="165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65"/>
    </row>
    <row r="12" spans="1:80" ht="18" customHeight="1" thickBot="1" thickTop="1">
      <c r="A12" s="234"/>
      <c r="B12" s="86"/>
      <c r="C12" s="170"/>
      <c r="D12" s="170"/>
      <c r="E12" s="171"/>
      <c r="F12" s="47">
        <v>23</v>
      </c>
      <c r="G12" s="48">
        <v>28</v>
      </c>
      <c r="H12" s="49"/>
      <c r="I12" s="45"/>
      <c r="J12" s="46"/>
      <c r="K12" s="53"/>
      <c r="L12" s="47">
        <v>27</v>
      </c>
      <c r="M12" s="48">
        <v>28</v>
      </c>
      <c r="N12" s="49">
        <v>30</v>
      </c>
      <c r="O12" s="47">
        <v>32</v>
      </c>
      <c r="P12" s="48">
        <v>18</v>
      </c>
      <c r="Q12" s="49">
        <v>32</v>
      </c>
      <c r="R12" s="47">
        <v>22</v>
      </c>
      <c r="S12" s="48">
        <v>23</v>
      </c>
      <c r="T12" s="49">
        <v>22</v>
      </c>
      <c r="U12" s="47">
        <v>24</v>
      </c>
      <c r="V12" s="48">
        <v>22</v>
      </c>
      <c r="W12" s="49">
        <v>19</v>
      </c>
      <c r="X12" s="47">
        <v>20</v>
      </c>
      <c r="Y12" s="48">
        <v>26</v>
      </c>
      <c r="Z12" s="49">
        <v>32</v>
      </c>
      <c r="AA12" s="47">
        <v>14</v>
      </c>
      <c r="AB12" s="48">
        <v>27</v>
      </c>
      <c r="AC12" s="49">
        <v>18</v>
      </c>
      <c r="AD12" s="47">
        <v>31</v>
      </c>
      <c r="AE12" s="48">
        <v>24</v>
      </c>
      <c r="AF12" s="49">
        <v>19</v>
      </c>
      <c r="AG12" s="47">
        <v>21</v>
      </c>
      <c r="AH12" s="48">
        <v>28</v>
      </c>
      <c r="AI12" s="49">
        <v>19</v>
      </c>
      <c r="AJ12" s="47">
        <v>29</v>
      </c>
      <c r="AK12" s="48">
        <v>20</v>
      </c>
      <c r="AL12" s="49">
        <v>45</v>
      </c>
      <c r="AM12" s="47">
        <v>24</v>
      </c>
      <c r="AN12" s="48">
        <v>25</v>
      </c>
      <c r="AO12" s="49"/>
      <c r="AP12" s="141"/>
      <c r="AQ12" s="142"/>
      <c r="AR12" s="143"/>
      <c r="AS12" s="141"/>
      <c r="AT12" s="142"/>
      <c r="AU12" s="143"/>
      <c r="AV12" s="203"/>
      <c r="AW12" s="178">
        <f>AW10-AY10</f>
        <v>17</v>
      </c>
      <c r="AX12" s="178"/>
      <c r="AY12" s="178"/>
      <c r="AZ12" s="177"/>
      <c r="BA12" s="174"/>
      <c r="BB12" s="180"/>
      <c r="BC12" s="50">
        <f>AVERAGE(F12:AU12)</f>
        <v>24.903225806451612</v>
      </c>
      <c r="BD12" s="173"/>
      <c r="BE12" s="261"/>
      <c r="BG12" s="236"/>
      <c r="BH12" s="236"/>
      <c r="BK12" s="164"/>
      <c r="BL12" s="165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65"/>
    </row>
    <row r="13" spans="1:80" ht="18" customHeight="1" thickBot="1" thickTop="1">
      <c r="A13" s="234">
        <f>VLOOKUP(C13,Исходник!$A$3:$G$44,7,FALSE)</f>
        <v>23</v>
      </c>
      <c r="B13" s="84"/>
      <c r="C13" s="166" t="str">
        <f>VLOOKUP(B14,Исходник!$K$3:Исходник!$AY$44,41,FALSE)</f>
        <v>Шашеро Антон
СФДМ, Москва</v>
      </c>
      <c r="D13" s="166"/>
      <c r="E13" s="167"/>
      <c r="F13" s="38">
        <v>1</v>
      </c>
      <c r="G13" s="188">
        <v>22.09</v>
      </c>
      <c r="H13" s="189"/>
      <c r="I13" s="38"/>
      <c r="J13" s="188">
        <v>17.18</v>
      </c>
      <c r="K13" s="189"/>
      <c r="L13" s="26"/>
      <c r="M13" s="211"/>
      <c r="N13" s="212"/>
      <c r="O13" s="38">
        <v>1</v>
      </c>
      <c r="P13" s="188">
        <v>21.87</v>
      </c>
      <c r="Q13" s="189"/>
      <c r="R13" s="38"/>
      <c r="S13" s="188">
        <v>20.75</v>
      </c>
      <c r="T13" s="189"/>
      <c r="U13" s="38"/>
      <c r="V13" s="188">
        <v>22.47</v>
      </c>
      <c r="W13" s="189"/>
      <c r="X13" s="38">
        <v>1</v>
      </c>
      <c r="Y13" s="188">
        <v>23.48</v>
      </c>
      <c r="Z13" s="189"/>
      <c r="AA13" s="38"/>
      <c r="AB13" s="188">
        <v>17.89</v>
      </c>
      <c r="AC13" s="189"/>
      <c r="AD13" s="38">
        <v>1</v>
      </c>
      <c r="AE13" s="188">
        <v>23.48</v>
      </c>
      <c r="AF13" s="189"/>
      <c r="AG13" s="38"/>
      <c r="AH13" s="188">
        <v>25.47</v>
      </c>
      <c r="AI13" s="189"/>
      <c r="AJ13" s="38"/>
      <c r="AK13" s="188">
        <v>21.97</v>
      </c>
      <c r="AL13" s="189"/>
      <c r="AM13" s="38"/>
      <c r="AN13" s="188">
        <v>17.89</v>
      </c>
      <c r="AO13" s="189"/>
      <c r="AP13" s="137"/>
      <c r="AQ13" s="270"/>
      <c r="AR13" s="271"/>
      <c r="AS13" s="137"/>
      <c r="AT13" s="270"/>
      <c r="AU13" s="271"/>
      <c r="AV13" s="201">
        <f>COUNTIF(F14:AU14,"в")</f>
        <v>8</v>
      </c>
      <c r="AW13" s="179">
        <f>F14+I14+L14+O14+R14+U14+X14+AA14+AD14+AG14+AJ14+AM14+AP14+AS14</f>
        <v>27</v>
      </c>
      <c r="AX13" s="184" t="s">
        <v>2</v>
      </c>
      <c r="AY13" s="183">
        <f>AU14+AR14+AO14+AL14+AI14+AF14+AC14+Z14+W14+T14+Q14+N14+K14+H14</f>
        <v>12</v>
      </c>
      <c r="AZ13" s="175">
        <f>IF(BL13=0,0,RANK(BL13,$BL$7:$BL$48,0))</f>
        <v>2</v>
      </c>
      <c r="BA13" s="174">
        <f>IF(BL13=0,0,VLOOKUP(AZ13,$BG$7:$BH$48,2,FALSE))</f>
        <v>26</v>
      </c>
      <c r="BB13" s="180">
        <f>A13+BA13</f>
        <v>49</v>
      </c>
      <c r="BC13" s="39">
        <f>AVERAGE(G13,J13,M13,P13,S13,V13,Y13,AB13,AE13,AH13,AK13,AN13,AQ13,AT13)</f>
        <v>21.321818181818184</v>
      </c>
      <c r="BD13" s="172">
        <f>F13+AS13+AP13+AM13+AJ13+AG13+AD13+AA13+X13+U13+R13+O13+L13+I13</f>
        <v>4</v>
      </c>
      <c r="BE13" s="259">
        <v>114</v>
      </c>
      <c r="BG13" s="236">
        <v>3</v>
      </c>
      <c r="BH13" s="236">
        <v>23</v>
      </c>
      <c r="BK13" s="164">
        <f>IF((AV13+AW15*0.001)=0,0,AV13+AW15*0.001+1)</f>
        <v>9.015</v>
      </c>
      <c r="BL13" s="165">
        <f>BK13+CB13*0.0001</f>
        <v>9.015</v>
      </c>
      <c r="BM13" s="88"/>
      <c r="BN13" s="89">
        <f>IF(L14&gt;N14,1,0)+(L14-N14)*0.1</f>
        <v>0</v>
      </c>
      <c r="BO13" s="90">
        <f>IF(O14&gt;Q14,1,0)+(O14-Q14)*0.1</f>
        <v>-0.2</v>
      </c>
      <c r="BP13" s="90">
        <f>IF(R14&gt;T14,1,0)+(R14-T14)*0.1</f>
        <v>1.2</v>
      </c>
      <c r="BQ13" s="90">
        <f>IF(U14&gt;W14,1,0)+(U14-W14)*0.1</f>
        <v>1.2</v>
      </c>
      <c r="BR13" s="90">
        <f>IF(X14&gt;Z14,1,0)+(X14-Z14)*0.1</f>
        <v>1.3</v>
      </c>
      <c r="BS13" s="90">
        <f>IF(AA14&gt;AC14,1,0)+(AA14-AC14)*0.1</f>
        <v>1.3</v>
      </c>
      <c r="BT13" s="90">
        <f>IF(AD14&gt;AF14,1,0)+(AD14-AF14)*0.1</f>
        <v>1.3</v>
      </c>
      <c r="BU13" s="90">
        <f>IF(AG14&gt;AI14,1,0)+(AG14-AI14)*0.1</f>
        <v>1.3</v>
      </c>
      <c r="BV13" s="90">
        <f>IF(AJ14&gt;AL14,1,0)+(AJ14-AL14)*0.1</f>
        <v>-0.1</v>
      </c>
      <c r="BW13" s="90">
        <f>IF(AM14&gt;AO14,1,0)+(AM14-AO14)*0.1</f>
        <v>1.3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1.2</v>
      </c>
      <c r="CA13" s="90">
        <f>IF(I14&gt;K14,1,0)+(I14-K14)*0.1</f>
        <v>-0.30000000000000004</v>
      </c>
      <c r="CB13" s="165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34"/>
      <c r="B14" s="85">
        <v>3</v>
      </c>
      <c r="C14" s="168"/>
      <c r="D14" s="168"/>
      <c r="E14" s="169"/>
      <c r="F14" s="42">
        <f>N8</f>
        <v>3</v>
      </c>
      <c r="G14" s="120" t="str">
        <f>IF(F14&gt;H14,"в","")</f>
        <v>в</v>
      </c>
      <c r="H14" s="43">
        <f>L8</f>
        <v>1</v>
      </c>
      <c r="I14" s="42">
        <f>N11</f>
        <v>0</v>
      </c>
      <c r="J14" s="122">
        <f>IF(I14&gt;K14,"в","")</f>
      </c>
      <c r="K14" s="43">
        <f>L11</f>
        <v>3</v>
      </c>
      <c r="L14" s="40"/>
      <c r="M14" s="54" t="s">
        <v>13</v>
      </c>
      <c r="N14" s="52"/>
      <c r="O14" s="42">
        <v>1</v>
      </c>
      <c r="P14" s="122">
        <f>IF(O14&gt;Q14,"в","")</f>
      </c>
      <c r="Q14" s="43">
        <v>3</v>
      </c>
      <c r="R14" s="42">
        <v>3</v>
      </c>
      <c r="S14" s="120" t="str">
        <f>IF(R14&gt;T14,"в","")</f>
        <v>в</v>
      </c>
      <c r="T14" s="43">
        <v>1</v>
      </c>
      <c r="U14" s="42">
        <v>3</v>
      </c>
      <c r="V14" s="120" t="str">
        <f>IF(U14&gt;W14,"в","")</f>
        <v>в</v>
      </c>
      <c r="W14" s="43">
        <v>1</v>
      </c>
      <c r="X14" s="42">
        <v>3</v>
      </c>
      <c r="Y14" s="120" t="str">
        <f>IF(X14&gt;Z14,"в","")</f>
        <v>в</v>
      </c>
      <c r="Z14" s="43">
        <v>0</v>
      </c>
      <c r="AA14" s="42">
        <v>3</v>
      </c>
      <c r="AB14" s="120" t="str">
        <f>IF(AA14&gt;AC14,"в","")</f>
        <v>в</v>
      </c>
      <c r="AC14" s="43">
        <v>0</v>
      </c>
      <c r="AD14" s="42">
        <v>3</v>
      </c>
      <c r="AE14" s="120" t="str">
        <f>IF(AD14&gt;AF14,"в","")</f>
        <v>в</v>
      </c>
      <c r="AF14" s="43">
        <v>0</v>
      </c>
      <c r="AG14" s="42">
        <v>3</v>
      </c>
      <c r="AH14" s="120" t="str">
        <f>IF(AG14&gt;AI14,"в","")</f>
        <v>в</v>
      </c>
      <c r="AI14" s="43">
        <v>0</v>
      </c>
      <c r="AJ14" s="42">
        <v>2</v>
      </c>
      <c r="AK14" s="122">
        <f>IF(AJ14&gt;AL14,"в","")</f>
      </c>
      <c r="AL14" s="43">
        <v>3</v>
      </c>
      <c r="AM14" s="42">
        <v>3</v>
      </c>
      <c r="AN14" s="120" t="str">
        <f>IF(AM14&gt;AO14,"в","")</f>
        <v>в</v>
      </c>
      <c r="AO14" s="43">
        <v>0</v>
      </c>
      <c r="AP14" s="138"/>
      <c r="AQ14" s="139">
        <f>IF(AP14&gt;AR14,"в","")</f>
      </c>
      <c r="AR14" s="140"/>
      <c r="AS14" s="138"/>
      <c r="AT14" s="139">
        <f>IF(AS14&gt;AU14,"в","")</f>
      </c>
      <c r="AU14" s="140"/>
      <c r="AV14" s="202"/>
      <c r="AW14" s="179"/>
      <c r="AX14" s="184"/>
      <c r="AY14" s="183"/>
      <c r="AZ14" s="176"/>
      <c r="BA14" s="174"/>
      <c r="BB14" s="180"/>
      <c r="BC14" s="44">
        <f>BC13*3</f>
        <v>63.96545454545455</v>
      </c>
      <c r="BD14" s="173"/>
      <c r="BE14" s="260"/>
      <c r="BG14" s="236"/>
      <c r="BH14" s="236"/>
      <c r="BK14" s="164"/>
      <c r="BL14" s="165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65"/>
    </row>
    <row r="15" spans="1:80" ht="18" customHeight="1" thickBot="1" thickTop="1">
      <c r="A15" s="234"/>
      <c r="B15" s="86"/>
      <c r="C15" s="170"/>
      <c r="D15" s="170"/>
      <c r="E15" s="171"/>
      <c r="F15" s="47">
        <v>24</v>
      </c>
      <c r="G15" s="48">
        <v>21</v>
      </c>
      <c r="H15" s="49">
        <v>23</v>
      </c>
      <c r="I15" s="47"/>
      <c r="J15" s="48"/>
      <c r="K15" s="49"/>
      <c r="L15" s="45"/>
      <c r="M15" s="46"/>
      <c r="N15" s="53"/>
      <c r="O15" s="47">
        <v>26</v>
      </c>
      <c r="P15" s="48"/>
      <c r="Q15" s="49"/>
      <c r="R15" s="47">
        <v>25</v>
      </c>
      <c r="S15" s="48">
        <v>19</v>
      </c>
      <c r="T15" s="49">
        <v>24</v>
      </c>
      <c r="U15" s="47">
        <v>15</v>
      </c>
      <c r="V15" s="48">
        <v>20</v>
      </c>
      <c r="W15" s="49">
        <v>29</v>
      </c>
      <c r="X15" s="47">
        <v>18</v>
      </c>
      <c r="Y15" s="48">
        <v>20</v>
      </c>
      <c r="Z15" s="49">
        <v>26</v>
      </c>
      <c r="AA15" s="47">
        <v>23</v>
      </c>
      <c r="AB15" s="48">
        <v>32</v>
      </c>
      <c r="AC15" s="49">
        <v>29</v>
      </c>
      <c r="AD15" s="47">
        <v>23</v>
      </c>
      <c r="AE15" s="48">
        <v>21</v>
      </c>
      <c r="AF15" s="49">
        <v>20</v>
      </c>
      <c r="AG15" s="47">
        <v>24</v>
      </c>
      <c r="AH15" s="48">
        <v>17</v>
      </c>
      <c r="AI15" s="49">
        <v>18</v>
      </c>
      <c r="AJ15" s="47">
        <v>21</v>
      </c>
      <c r="AK15" s="48">
        <v>20</v>
      </c>
      <c r="AL15" s="49"/>
      <c r="AM15" s="47">
        <v>31</v>
      </c>
      <c r="AN15" s="48">
        <v>29</v>
      </c>
      <c r="AO15" s="49">
        <v>24</v>
      </c>
      <c r="AP15" s="141"/>
      <c r="AQ15" s="142"/>
      <c r="AR15" s="143"/>
      <c r="AS15" s="141"/>
      <c r="AT15" s="142"/>
      <c r="AU15" s="143"/>
      <c r="AV15" s="203"/>
      <c r="AW15" s="178">
        <f>AW13-AY13</f>
        <v>15</v>
      </c>
      <c r="AX15" s="178"/>
      <c r="AY15" s="178"/>
      <c r="AZ15" s="177"/>
      <c r="BA15" s="174"/>
      <c r="BB15" s="180"/>
      <c r="BC15" s="50">
        <f>AVERAGE(F15:AU15)</f>
        <v>23.037037037037038</v>
      </c>
      <c r="BD15" s="173"/>
      <c r="BE15" s="261"/>
      <c r="BG15" s="236"/>
      <c r="BH15" s="236"/>
      <c r="BK15" s="164"/>
      <c r="BL15" s="165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65"/>
    </row>
    <row r="16" spans="1:80" ht="18" customHeight="1" thickBot="1" thickTop="1">
      <c r="A16" s="234">
        <f>VLOOKUP(C16,Исходник!$A$3:$G$44,7,FALSE)</f>
        <v>20</v>
      </c>
      <c r="B16" s="84"/>
      <c r="C16" s="166" t="str">
        <f>VLOOKUP(B17,Исходник!$K$3:Исходник!$AY$44,41,FALSE)</f>
        <v>Хроменко Олег
СФДМ, Москва</v>
      </c>
      <c r="D16" s="166"/>
      <c r="E16" s="167"/>
      <c r="F16" s="38"/>
      <c r="G16" s="188">
        <v>18</v>
      </c>
      <c r="H16" s="189"/>
      <c r="I16" s="51"/>
      <c r="J16" s="188"/>
      <c r="K16" s="189"/>
      <c r="L16" s="51"/>
      <c r="M16" s="188">
        <v>23.04</v>
      </c>
      <c r="N16" s="189"/>
      <c r="O16" s="26"/>
      <c r="P16" s="211"/>
      <c r="Q16" s="212"/>
      <c r="R16" s="38"/>
      <c r="S16" s="188">
        <v>22.42</v>
      </c>
      <c r="T16" s="189"/>
      <c r="U16" s="38"/>
      <c r="V16" s="188">
        <v>20.33</v>
      </c>
      <c r="W16" s="189"/>
      <c r="X16" s="38">
        <v>2</v>
      </c>
      <c r="Y16" s="188">
        <v>22.08</v>
      </c>
      <c r="Z16" s="189"/>
      <c r="AA16" s="38"/>
      <c r="AB16" s="188">
        <v>19.53</v>
      </c>
      <c r="AC16" s="189"/>
      <c r="AD16" s="38"/>
      <c r="AE16" s="188">
        <v>20.92</v>
      </c>
      <c r="AF16" s="189"/>
      <c r="AG16" s="38"/>
      <c r="AH16" s="188">
        <v>23.85</v>
      </c>
      <c r="AI16" s="189"/>
      <c r="AJ16" s="38">
        <v>1</v>
      </c>
      <c r="AK16" s="188">
        <v>22</v>
      </c>
      <c r="AL16" s="189"/>
      <c r="AM16" s="38">
        <v>1</v>
      </c>
      <c r="AN16" s="188">
        <v>19.89</v>
      </c>
      <c r="AO16" s="189"/>
      <c r="AP16" s="137"/>
      <c r="AQ16" s="270"/>
      <c r="AR16" s="271"/>
      <c r="AS16" s="137"/>
      <c r="AT16" s="270"/>
      <c r="AU16" s="271"/>
      <c r="AV16" s="201">
        <f>COUNTIF(F17:AU17,"в")</f>
        <v>6</v>
      </c>
      <c r="AW16" s="179">
        <f>F17+I17+L17+O17+R17+U17+X17+AA17+AD17+AG17+AJ17+AM17+AP17+AS17</f>
        <v>21</v>
      </c>
      <c r="AX16" s="184" t="s">
        <v>2</v>
      </c>
      <c r="AY16" s="183">
        <f>AU17+AR17+AO17+AL17+AI17+AF17+AC17+Z17+W17+T17+Q17+N17+K17+H17</f>
        <v>23</v>
      </c>
      <c r="AZ16" s="175">
        <f>IF(BL16=0,0,RANK(BL16,$BL$7:$BL$48,0))</f>
        <v>6</v>
      </c>
      <c r="BA16" s="174">
        <f>IF(BL16=0,0,VLOOKUP(AZ16,$BG$7:$BH$48,2,FALSE))</f>
        <v>15</v>
      </c>
      <c r="BB16" s="180">
        <f>A16+BA16</f>
        <v>35</v>
      </c>
      <c r="BC16" s="39">
        <f>AVERAGE(G16,J16,M16,P16,S16,V16,Y16,AB16,AE16,AH16,AK16,AN16,AQ16,AT16)</f>
        <v>21.206</v>
      </c>
      <c r="BD16" s="172">
        <f>F16+AS16+AP16+AM16+AJ16+AG16+AD16+AA16+X16+U16+R16+O16+L16+I16</f>
        <v>4</v>
      </c>
      <c r="BE16" s="262">
        <v>112</v>
      </c>
      <c r="BG16" s="236">
        <v>4</v>
      </c>
      <c r="BH16" s="236">
        <v>20</v>
      </c>
      <c r="BK16" s="164">
        <f>IF((AV16+AW18*0.001)=0,0,AV16+AW18*0.001+1)</f>
        <v>6.998</v>
      </c>
      <c r="BL16" s="165">
        <f>BK16+CB16*0.0001</f>
        <v>6.998</v>
      </c>
      <c r="BM16" s="88"/>
      <c r="BN16" s="89">
        <f>IF(O17&gt;Q17,1,0)+(O17-Q17)*0.1</f>
        <v>0</v>
      </c>
      <c r="BO16" s="90">
        <f>IF(R17&gt;T17,1,0)+(R17-T17)*0.1</f>
        <v>-0.30000000000000004</v>
      </c>
      <c r="BP16" s="90">
        <f>IF(U17&gt;W17,1,0)+(U17-W17)*0.1</f>
        <v>-0.30000000000000004</v>
      </c>
      <c r="BQ16" s="90">
        <f>IF(X17&gt;Z17,1,0)+(X17-Z17)*0.1</f>
        <v>1.1</v>
      </c>
      <c r="BR16" s="90">
        <f>IF(AA17&gt;AC17,1,0)+(AA17-AC17)*0.1</f>
        <v>1.1</v>
      </c>
      <c r="BS16" s="90">
        <f>IF(AD17&gt;AF17,1,0)+(AD17-AF17)*0.1</f>
        <v>-0.1</v>
      </c>
      <c r="BT16" s="90">
        <f>IF(AG17&gt;AI17,1,0)+(AG17-AI17)*0.1</f>
        <v>1.3</v>
      </c>
      <c r="BU16" s="90">
        <f>IF(AJ17&gt;AL17,1,0)+(AJ17-AL17)*0.1</f>
        <v>1.2</v>
      </c>
      <c r="BV16" s="90">
        <f>IF(AM17&gt;AO17,1,0)+(AM17-AO17)*0.1</f>
        <v>1.1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-0.2</v>
      </c>
      <c r="BZ16" s="90">
        <f>IF(I17&gt;K17,1,0)+(I17-K17)*0.1</f>
        <v>-0.30000000000000004</v>
      </c>
      <c r="CA16" s="90">
        <f>IF(L17&gt;N17,1,0)+(L17-N17)*0.1</f>
        <v>1.2</v>
      </c>
      <c r="CB16" s="165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34"/>
      <c r="B17" s="85">
        <v>4</v>
      </c>
      <c r="C17" s="168"/>
      <c r="D17" s="168"/>
      <c r="E17" s="169"/>
      <c r="F17" s="42">
        <f>Q8</f>
        <v>1</v>
      </c>
      <c r="G17" s="122">
        <f>IF(F17&gt;H17,"в","")</f>
      </c>
      <c r="H17" s="43">
        <f>O8</f>
        <v>3</v>
      </c>
      <c r="I17" s="42">
        <f>Q11</f>
        <v>0</v>
      </c>
      <c r="J17" s="122">
        <f>IF(I17&gt;K17,"в","")</f>
      </c>
      <c r="K17" s="43">
        <f>O11</f>
        <v>3</v>
      </c>
      <c r="L17" s="42">
        <f>Q14</f>
        <v>3</v>
      </c>
      <c r="M17" s="120" t="str">
        <f>IF(L17&gt;N17,"в","")</f>
        <v>в</v>
      </c>
      <c r="N17" s="43">
        <f>O14</f>
        <v>1</v>
      </c>
      <c r="O17" s="40"/>
      <c r="P17" s="28">
        <v>4</v>
      </c>
      <c r="Q17" s="52"/>
      <c r="R17" s="42">
        <v>0</v>
      </c>
      <c r="S17" s="122">
        <f>IF(R17&gt;T17,"в","")</f>
      </c>
      <c r="T17" s="43">
        <v>3</v>
      </c>
      <c r="U17" s="42">
        <v>0</v>
      </c>
      <c r="V17" s="122">
        <f>IF(U17&gt;W17,"в","")</f>
      </c>
      <c r="W17" s="43">
        <v>3</v>
      </c>
      <c r="X17" s="42">
        <v>3</v>
      </c>
      <c r="Y17" s="120" t="str">
        <f>IF(X17&gt;Z17,"в","")</f>
        <v>в</v>
      </c>
      <c r="Z17" s="43">
        <v>2</v>
      </c>
      <c r="AA17" s="42">
        <v>3</v>
      </c>
      <c r="AB17" s="120" t="str">
        <f>IF(AA17&gt;AC17,"в","")</f>
        <v>в</v>
      </c>
      <c r="AC17" s="43">
        <v>2</v>
      </c>
      <c r="AD17" s="42">
        <v>2</v>
      </c>
      <c r="AE17" s="122">
        <f>IF(AD17&gt;AF17,"в","")</f>
      </c>
      <c r="AF17" s="43">
        <v>3</v>
      </c>
      <c r="AG17" s="42">
        <v>3</v>
      </c>
      <c r="AH17" s="120" t="str">
        <f>IF(AG17&gt;AI17,"в","")</f>
        <v>в</v>
      </c>
      <c r="AI17" s="43">
        <v>0</v>
      </c>
      <c r="AJ17" s="42">
        <v>3</v>
      </c>
      <c r="AK17" s="120" t="str">
        <f>IF(AJ17&gt;AL17,"в","")</f>
        <v>в</v>
      </c>
      <c r="AL17" s="43">
        <v>1</v>
      </c>
      <c r="AM17" s="42">
        <v>3</v>
      </c>
      <c r="AN17" s="120" t="str">
        <f>IF(AM17&gt;AO17,"в","")</f>
        <v>в</v>
      </c>
      <c r="AO17" s="43">
        <v>2</v>
      </c>
      <c r="AP17" s="138"/>
      <c r="AQ17" s="139">
        <f>IF(AP17&gt;AR17,"в","")</f>
      </c>
      <c r="AR17" s="140"/>
      <c r="AS17" s="138"/>
      <c r="AT17" s="139">
        <f>IF(AS17&gt;AU17,"в","")</f>
      </c>
      <c r="AU17" s="140"/>
      <c r="AV17" s="202"/>
      <c r="AW17" s="179"/>
      <c r="AX17" s="184"/>
      <c r="AY17" s="183"/>
      <c r="AZ17" s="176"/>
      <c r="BA17" s="174"/>
      <c r="BB17" s="180"/>
      <c r="BC17" s="44">
        <f>BC16*3</f>
        <v>63.617999999999995</v>
      </c>
      <c r="BD17" s="173"/>
      <c r="BE17" s="260"/>
      <c r="BG17" s="236"/>
      <c r="BH17" s="236"/>
      <c r="BK17" s="164"/>
      <c r="BL17" s="165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65"/>
    </row>
    <row r="18" spans="1:80" ht="18" customHeight="1" thickBot="1" thickTop="1">
      <c r="A18" s="234"/>
      <c r="B18" s="86"/>
      <c r="C18" s="170"/>
      <c r="D18" s="170"/>
      <c r="E18" s="171"/>
      <c r="F18" s="47">
        <v>26</v>
      </c>
      <c r="G18" s="48"/>
      <c r="H18" s="49"/>
      <c r="I18" s="47"/>
      <c r="J18" s="48"/>
      <c r="K18" s="49"/>
      <c r="L18" s="47">
        <v>20</v>
      </c>
      <c r="M18" s="48">
        <v>23</v>
      </c>
      <c r="N18" s="49">
        <v>19</v>
      </c>
      <c r="O18" s="45"/>
      <c r="P18" s="46"/>
      <c r="Q18" s="53"/>
      <c r="R18" s="47"/>
      <c r="S18" s="48"/>
      <c r="T18" s="49"/>
      <c r="U18" s="47"/>
      <c r="V18" s="48"/>
      <c r="W18" s="49"/>
      <c r="X18" s="47">
        <v>22</v>
      </c>
      <c r="Y18" s="48">
        <v>23</v>
      </c>
      <c r="Z18" s="49">
        <v>24</v>
      </c>
      <c r="AA18" s="47">
        <v>22</v>
      </c>
      <c r="AB18" s="48">
        <v>23</v>
      </c>
      <c r="AC18" s="49">
        <v>24</v>
      </c>
      <c r="AD18" s="47">
        <v>24</v>
      </c>
      <c r="AE18" s="48">
        <v>26</v>
      </c>
      <c r="AF18" s="49"/>
      <c r="AG18" s="47">
        <v>18</v>
      </c>
      <c r="AH18" s="48">
        <v>23</v>
      </c>
      <c r="AI18" s="49">
        <v>22</v>
      </c>
      <c r="AJ18" s="47"/>
      <c r="AK18" s="48"/>
      <c r="AL18" s="49"/>
      <c r="AM18" s="47">
        <v>24</v>
      </c>
      <c r="AN18" s="48">
        <v>26</v>
      </c>
      <c r="AO18" s="49">
        <v>18</v>
      </c>
      <c r="AP18" s="141"/>
      <c r="AQ18" s="142"/>
      <c r="AR18" s="143"/>
      <c r="AS18" s="141"/>
      <c r="AT18" s="142"/>
      <c r="AU18" s="143"/>
      <c r="AV18" s="203"/>
      <c r="AW18" s="178">
        <f>AW16-AY16</f>
        <v>-2</v>
      </c>
      <c r="AX18" s="178"/>
      <c r="AY18" s="178"/>
      <c r="AZ18" s="177"/>
      <c r="BA18" s="174"/>
      <c r="BB18" s="180"/>
      <c r="BC18" s="50">
        <f>AVERAGE(F18:AU18)</f>
        <v>22.61111111111111</v>
      </c>
      <c r="BD18" s="173"/>
      <c r="BE18" s="261"/>
      <c r="BG18" s="236"/>
      <c r="BH18" s="236"/>
      <c r="BK18" s="164"/>
      <c r="BL18" s="165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65"/>
    </row>
    <row r="19" spans="1:80" ht="18" customHeight="1" thickBot="1" thickTop="1">
      <c r="A19" s="234">
        <f>VLOOKUP(C19,Исходник!$A$3:$G$44,7,FALSE)</f>
        <v>17</v>
      </c>
      <c r="B19" s="84"/>
      <c r="C19" s="166" t="str">
        <f>VLOOKUP(B20,Исходник!$K$3:Исходник!$AY$44,41,FALSE)</f>
        <v>Новоселов Павел
СФДМ, Москва</v>
      </c>
      <c r="D19" s="166"/>
      <c r="E19" s="167"/>
      <c r="F19" s="38"/>
      <c r="G19" s="228">
        <v>23.38</v>
      </c>
      <c r="H19" s="229"/>
      <c r="I19" s="38"/>
      <c r="J19" s="228">
        <v>20.58</v>
      </c>
      <c r="K19" s="229"/>
      <c r="L19" s="38"/>
      <c r="M19" s="228">
        <v>19.33</v>
      </c>
      <c r="N19" s="229"/>
      <c r="O19" s="38"/>
      <c r="P19" s="228">
        <v>23.48</v>
      </c>
      <c r="Q19" s="229"/>
      <c r="R19" s="26"/>
      <c r="S19" s="211"/>
      <c r="T19" s="212"/>
      <c r="U19" s="38">
        <v>1</v>
      </c>
      <c r="V19" s="188">
        <v>27.83</v>
      </c>
      <c r="W19" s="189"/>
      <c r="X19" s="38">
        <v>1</v>
      </c>
      <c r="Y19" s="188">
        <v>18.18</v>
      </c>
      <c r="Z19" s="189"/>
      <c r="AA19" s="38"/>
      <c r="AB19" s="188">
        <v>22.26</v>
      </c>
      <c r="AC19" s="189"/>
      <c r="AD19" s="38"/>
      <c r="AE19" s="188">
        <v>19.39</v>
      </c>
      <c r="AF19" s="189"/>
      <c r="AG19" s="38"/>
      <c r="AH19" s="188"/>
      <c r="AI19" s="189"/>
      <c r="AJ19" s="38"/>
      <c r="AK19" s="188">
        <v>22.1</v>
      </c>
      <c r="AL19" s="189"/>
      <c r="AM19" s="38">
        <v>1</v>
      </c>
      <c r="AN19" s="188">
        <v>19.71</v>
      </c>
      <c r="AO19" s="189"/>
      <c r="AP19" s="137"/>
      <c r="AQ19" s="270"/>
      <c r="AR19" s="271"/>
      <c r="AS19" s="137"/>
      <c r="AT19" s="270"/>
      <c r="AU19" s="271"/>
      <c r="AV19" s="201">
        <f>COUNTIF(F20:AU20,"в")</f>
        <v>7</v>
      </c>
      <c r="AW19" s="179">
        <f>F20+I20+L20+O20+R20+U20+X20+AA20+AD20+AG20+AJ20+AM20+AP20+AS20</f>
        <v>25</v>
      </c>
      <c r="AX19" s="184" t="s">
        <v>2</v>
      </c>
      <c r="AY19" s="183">
        <f>AU20+AR20+AO20+AL20+AI20+AF20+AC20+Z20+W20+T20+Q20+N20+K20+H20</f>
        <v>17</v>
      </c>
      <c r="AZ19" s="175">
        <f>IF(BL19=0,0,RANK(BL19,$BL$7:$BL$48,0))</f>
        <v>5</v>
      </c>
      <c r="BA19" s="174">
        <f>IF(BL19=0,0,VLOOKUP(AZ19,$BG$7:$BH$48,2,FALSE))</f>
        <v>17</v>
      </c>
      <c r="BB19" s="180">
        <f>A19+BA19</f>
        <v>34</v>
      </c>
      <c r="BC19" s="39">
        <f>AVERAGE(G19,J19,M19,P19,S19,V19,Y19,AB19,AE19,AH19,AK19,AN19,AQ19,AT19)</f>
        <v>21.624000000000002</v>
      </c>
      <c r="BD19" s="172">
        <f>F19+AS19+AP19+AM19+AJ19+AG19+AD19+AA19+X19+U19+R19+O19+L19+I19</f>
        <v>3</v>
      </c>
      <c r="BE19" s="262"/>
      <c r="BG19" s="236">
        <v>5</v>
      </c>
      <c r="BH19" s="236">
        <v>17</v>
      </c>
      <c r="BK19" s="164">
        <f>IF((AV19+AW21*0.001)=0,0,AV19+AW21*0.001+1)</f>
        <v>8.008</v>
      </c>
      <c r="BL19" s="165">
        <f>BK19+CB19*0.0001</f>
        <v>8.008</v>
      </c>
      <c r="BM19" s="88"/>
      <c r="BN19" s="89">
        <f>IF(R20&gt;T20,1,0)+(R20-T20)*0.1</f>
        <v>0</v>
      </c>
      <c r="BO19" s="90">
        <f>IF(U20&gt;W20,1,0)+(U20-W20)*0.1</f>
        <v>1.3</v>
      </c>
      <c r="BP19" s="90">
        <f>IF(X20&gt;Z20,1,0)+(X20-Z20)*0.1</f>
        <v>1.2</v>
      </c>
      <c r="BQ19" s="90">
        <f>IF(AA20&gt;AC20,1,0)+(AA20-AC20)*0.1</f>
        <v>1.2</v>
      </c>
      <c r="BR19" s="90">
        <f>IF(AD20&gt;AF20,1,0)+(AD20-AF20)*0.1</f>
        <v>-0.1</v>
      </c>
      <c r="BS19" s="90">
        <f>IF(AG20&gt;AI20,1,0)+(AG20-AI20)*0.1</f>
        <v>-0.30000000000000004</v>
      </c>
      <c r="BT19" s="90">
        <f>IF(AJ20&gt;AL20,1,0)+(AJ20-AL20)*0.1</f>
        <v>1.3</v>
      </c>
      <c r="BU19" s="90">
        <f>IF(AM20&gt;AO20,1,0)+(AM20-AO20)*0.1</f>
        <v>1.1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1.2</v>
      </c>
      <c r="BY19" s="90">
        <f>IF(I20&gt;K20,1,0)+(I20-K20)*0.1</f>
        <v>-0.2</v>
      </c>
      <c r="BZ19" s="90">
        <f>IF(L20&gt;N20,1,0)+(L20-N20)*0.1</f>
        <v>-0.2</v>
      </c>
      <c r="CA19" s="90">
        <f>IF(O20&gt;Q20,1,0)+(O20-Q20)*0.1</f>
        <v>1.3</v>
      </c>
      <c r="CB19" s="165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34"/>
      <c r="B20" s="85">
        <v>5</v>
      </c>
      <c r="C20" s="168"/>
      <c r="D20" s="168"/>
      <c r="E20" s="169"/>
      <c r="F20" s="42">
        <f>T8</f>
        <v>3</v>
      </c>
      <c r="G20" s="120" t="str">
        <f>IF(F20&gt;H20,"в","")</f>
        <v>в</v>
      </c>
      <c r="H20" s="43">
        <f>R8</f>
        <v>1</v>
      </c>
      <c r="I20" s="42">
        <f>T11</f>
        <v>1</v>
      </c>
      <c r="J20" s="122">
        <f>IF(I20&gt;K20,"в","")</f>
      </c>
      <c r="K20" s="43">
        <f>R11</f>
        <v>3</v>
      </c>
      <c r="L20" s="42">
        <f>T14</f>
        <v>1</v>
      </c>
      <c r="M20" s="122">
        <f>IF(L20&gt;N20,"в","")</f>
      </c>
      <c r="N20" s="43">
        <f>R14</f>
        <v>3</v>
      </c>
      <c r="O20" s="42">
        <f>T17</f>
        <v>3</v>
      </c>
      <c r="P20" s="120" t="str">
        <f>IF(O20&gt;Q20,"в","")</f>
        <v>в</v>
      </c>
      <c r="Q20" s="43">
        <f>R17</f>
        <v>0</v>
      </c>
      <c r="R20" s="40"/>
      <c r="S20" s="28">
        <v>5</v>
      </c>
      <c r="T20" s="52"/>
      <c r="U20" s="42">
        <v>3</v>
      </c>
      <c r="V20" s="120" t="str">
        <f>IF(U20&gt;W20,"в","")</f>
        <v>в</v>
      </c>
      <c r="W20" s="43">
        <v>0</v>
      </c>
      <c r="X20" s="42">
        <v>3</v>
      </c>
      <c r="Y20" s="120" t="str">
        <f>IF(X20&gt;Z20,"в","")</f>
        <v>в</v>
      </c>
      <c r="Z20" s="43">
        <v>1</v>
      </c>
      <c r="AA20" s="42">
        <v>3</v>
      </c>
      <c r="AB20" s="120" t="str">
        <f>IF(AA20&gt;AC20,"в","")</f>
        <v>в</v>
      </c>
      <c r="AC20" s="43">
        <v>1</v>
      </c>
      <c r="AD20" s="42">
        <v>2</v>
      </c>
      <c r="AE20" s="122">
        <f>IF(AD20&gt;AF20,"в","")</f>
      </c>
      <c r="AF20" s="43">
        <v>3</v>
      </c>
      <c r="AG20" s="42">
        <v>0</v>
      </c>
      <c r="AH20" s="122">
        <f>IF(AG20&gt;AI20,"в","")</f>
      </c>
      <c r="AI20" s="43">
        <v>3</v>
      </c>
      <c r="AJ20" s="42">
        <v>3</v>
      </c>
      <c r="AK20" s="120" t="str">
        <f>IF(AJ20&gt;AL20,"в","")</f>
        <v>в</v>
      </c>
      <c r="AL20" s="43">
        <v>0</v>
      </c>
      <c r="AM20" s="42">
        <v>3</v>
      </c>
      <c r="AN20" s="120" t="str">
        <f>IF(AM20&gt;AO20,"в","")</f>
        <v>в</v>
      </c>
      <c r="AO20" s="43">
        <v>2</v>
      </c>
      <c r="AP20" s="138"/>
      <c r="AQ20" s="139">
        <f>IF(AP20&gt;AR20,"в","")</f>
      </c>
      <c r="AR20" s="140"/>
      <c r="AS20" s="138"/>
      <c r="AT20" s="139">
        <f>IF(AS20&gt;AU20,"в","")</f>
      </c>
      <c r="AU20" s="140"/>
      <c r="AV20" s="202"/>
      <c r="AW20" s="179"/>
      <c r="AX20" s="184"/>
      <c r="AY20" s="183"/>
      <c r="AZ20" s="176"/>
      <c r="BA20" s="174"/>
      <c r="BB20" s="180"/>
      <c r="BC20" s="44">
        <f>BC19*3</f>
        <v>64.87200000000001</v>
      </c>
      <c r="BD20" s="173"/>
      <c r="BE20" s="260"/>
      <c r="BG20" s="236"/>
      <c r="BH20" s="236"/>
      <c r="BK20" s="164"/>
      <c r="BL20" s="165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65"/>
    </row>
    <row r="21" spans="1:80" ht="18" customHeight="1" thickBot="1" thickTop="1">
      <c r="A21" s="234"/>
      <c r="B21" s="86"/>
      <c r="C21" s="170"/>
      <c r="D21" s="170"/>
      <c r="E21" s="171"/>
      <c r="F21" s="47">
        <v>16</v>
      </c>
      <c r="G21" s="48">
        <v>26</v>
      </c>
      <c r="H21" s="49">
        <v>18</v>
      </c>
      <c r="I21" s="47">
        <v>22</v>
      </c>
      <c r="J21" s="48"/>
      <c r="K21" s="49"/>
      <c r="L21" s="47">
        <v>26</v>
      </c>
      <c r="M21" s="48"/>
      <c r="N21" s="49"/>
      <c r="O21" s="47">
        <v>25</v>
      </c>
      <c r="P21" s="48">
        <v>23</v>
      </c>
      <c r="Q21" s="49">
        <v>16</v>
      </c>
      <c r="R21" s="45"/>
      <c r="S21" s="46"/>
      <c r="T21" s="53"/>
      <c r="U21" s="47">
        <v>18</v>
      </c>
      <c r="V21" s="48">
        <v>15</v>
      </c>
      <c r="W21" s="49">
        <v>21</v>
      </c>
      <c r="X21" s="47">
        <v>28</v>
      </c>
      <c r="Y21" s="48">
        <v>29</v>
      </c>
      <c r="Z21" s="49">
        <v>26</v>
      </c>
      <c r="AA21" s="47">
        <v>24</v>
      </c>
      <c r="AB21" s="48">
        <v>24</v>
      </c>
      <c r="AC21" s="49">
        <v>20</v>
      </c>
      <c r="AD21" s="47">
        <v>22</v>
      </c>
      <c r="AE21" s="48">
        <v>27</v>
      </c>
      <c r="AF21" s="49"/>
      <c r="AG21" s="47"/>
      <c r="AH21" s="48"/>
      <c r="AI21" s="49"/>
      <c r="AJ21" s="47">
        <v>26</v>
      </c>
      <c r="AK21" s="48">
        <v>18</v>
      </c>
      <c r="AL21" s="49">
        <v>23</v>
      </c>
      <c r="AM21" s="47">
        <v>21</v>
      </c>
      <c r="AN21" s="48">
        <v>26</v>
      </c>
      <c r="AO21" s="49">
        <v>31</v>
      </c>
      <c r="AP21" s="141"/>
      <c r="AQ21" s="142"/>
      <c r="AR21" s="143"/>
      <c r="AS21" s="141"/>
      <c r="AT21" s="142"/>
      <c r="AU21" s="143"/>
      <c r="AV21" s="203"/>
      <c r="AW21" s="178">
        <f>AW19-AY19</f>
        <v>8</v>
      </c>
      <c r="AX21" s="178"/>
      <c r="AY21" s="178"/>
      <c r="AZ21" s="177"/>
      <c r="BA21" s="174"/>
      <c r="BB21" s="180"/>
      <c r="BC21" s="50">
        <f>AVERAGE(F21:AU21)</f>
        <v>22.84</v>
      </c>
      <c r="BD21" s="173"/>
      <c r="BE21" s="261"/>
      <c r="BG21" s="236"/>
      <c r="BH21" s="236"/>
      <c r="BK21" s="164"/>
      <c r="BL21" s="165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65"/>
    </row>
    <row r="22" spans="1:80" ht="18" customHeight="1" thickBot="1" thickTop="1">
      <c r="A22" s="234">
        <f>VLOOKUP(C22,Исходник!$A$3:$G$44,7,FALSE)</f>
        <v>15</v>
      </c>
      <c r="B22" s="84"/>
      <c r="C22" s="166" t="str">
        <f>VLOOKUP(B23,Исходник!$K$3:Исходник!$AY$44,41,FALSE)</f>
        <v>Иванов Евгений
СФДМ, Красногорск</v>
      </c>
      <c r="D22" s="166"/>
      <c r="E22" s="167"/>
      <c r="F22" s="38"/>
      <c r="G22" s="188">
        <v>18.62</v>
      </c>
      <c r="H22" s="189"/>
      <c r="I22" s="38">
        <v>1</v>
      </c>
      <c r="J22" s="188">
        <v>19.02</v>
      </c>
      <c r="K22" s="189"/>
      <c r="L22" s="38"/>
      <c r="M22" s="188">
        <v>19.59</v>
      </c>
      <c r="N22" s="189"/>
      <c r="O22" s="38"/>
      <c r="P22" s="188">
        <v>21.17</v>
      </c>
      <c r="Q22" s="189"/>
      <c r="R22" s="38"/>
      <c r="S22" s="188">
        <v>22.57</v>
      </c>
      <c r="T22" s="189"/>
      <c r="U22" s="26"/>
      <c r="V22" s="211"/>
      <c r="W22" s="212"/>
      <c r="X22" s="38"/>
      <c r="Y22" s="188">
        <v>23.83</v>
      </c>
      <c r="Z22" s="189"/>
      <c r="AA22" s="38">
        <v>1</v>
      </c>
      <c r="AB22" s="188">
        <v>17.23</v>
      </c>
      <c r="AC22" s="189"/>
      <c r="AD22" s="38"/>
      <c r="AE22" s="188">
        <v>18.29</v>
      </c>
      <c r="AF22" s="189"/>
      <c r="AG22" s="38"/>
      <c r="AH22" s="188">
        <v>20.31</v>
      </c>
      <c r="AI22" s="189"/>
      <c r="AJ22" s="38"/>
      <c r="AK22" s="188">
        <v>20.31</v>
      </c>
      <c r="AL22" s="189"/>
      <c r="AM22" s="38"/>
      <c r="AN22" s="188">
        <v>20.92</v>
      </c>
      <c r="AO22" s="189"/>
      <c r="AP22" s="137"/>
      <c r="AQ22" s="270"/>
      <c r="AR22" s="271"/>
      <c r="AS22" s="137"/>
      <c r="AT22" s="270"/>
      <c r="AU22" s="271"/>
      <c r="AV22" s="201">
        <f>COUNTIF(F23:AU23,"в")</f>
        <v>5</v>
      </c>
      <c r="AW22" s="179">
        <f>F23+I23+L23+O23+R23+U23+X23+AA23+AD23+AG23+AJ23+AM23+AP23+AS23</f>
        <v>21</v>
      </c>
      <c r="AX22" s="184" t="s">
        <v>2</v>
      </c>
      <c r="AY22" s="183">
        <f>AU23+AR23+AO23+AL23+AI23+AF23+AC23+Z23+W23+T23+Q23+N23+K23+H23</f>
        <v>21</v>
      </c>
      <c r="AZ22" s="175">
        <f>IF(BL22=0,0,RANK(BL22,$BL$7:$BL$48,0))</f>
        <v>7</v>
      </c>
      <c r="BA22" s="174">
        <f>IF(BL22=0,0,VLOOKUP(AZ22,$BG$7:$BH$48,2,FALSE))</f>
        <v>13</v>
      </c>
      <c r="BB22" s="180">
        <f>A22+BA22</f>
        <v>28</v>
      </c>
      <c r="BC22" s="39">
        <f>AVERAGE(G22,J22,M22,P22,S22,V22,Y22,AB22,AE22,AH22,AK22,AN22,AQ22,AT22)</f>
        <v>20.16909090909091</v>
      </c>
      <c r="BD22" s="172">
        <f>F22+AS22+AP22+AM22+AJ22+AG22+AD22+AA22+X22+U22+R22+O22+L22+I22</f>
        <v>2</v>
      </c>
      <c r="BE22" s="259"/>
      <c r="BG22" s="236">
        <v>6</v>
      </c>
      <c r="BH22" s="236">
        <v>15</v>
      </c>
      <c r="BK22" s="164">
        <f>IF((AV22+AW24*0.001)=0,0,AV22+AW24*0.001+1)</f>
        <v>6</v>
      </c>
      <c r="BL22" s="165">
        <f>BK22+CB22*0.0001</f>
        <v>6.00011</v>
      </c>
      <c r="BM22" s="88"/>
      <c r="BN22" s="89">
        <f>IF(U23&gt;W23,1,0)+(U23-W23)*0.1</f>
        <v>0</v>
      </c>
      <c r="BO22" s="90">
        <f>IF(X23&gt;Z23,1,0)+(X23-Z23)*0.1</f>
        <v>1.1</v>
      </c>
      <c r="BP22" s="90">
        <f>IF(AA23&gt;AC23,1,0)+(AA23-AC23)*0.1</f>
        <v>-0.30000000000000004</v>
      </c>
      <c r="BQ22" s="90">
        <f>IF(AD23&gt;AF23,1,0)+(AD23-AF23)*0.1</f>
        <v>-0.1</v>
      </c>
      <c r="BR22" s="90">
        <f>IF(AG23&gt;AI23,1,0)+(AG23-AI23)*0.1</f>
        <v>1.3</v>
      </c>
      <c r="BS22" s="90">
        <f>IF(AJ23&gt;AL23,1,0)+(AJ23-AL23)*0.1</f>
        <v>1.3</v>
      </c>
      <c r="BT22" s="90">
        <f>IF(AM23&gt;AO23,1,0)+(AM23-AO23)*0.1</f>
        <v>1.2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-0.1</v>
      </c>
      <c r="BX22" s="90">
        <f>IF(I23&gt;K23,1,0)+(I23-K23)*0.1</f>
        <v>-0.2</v>
      </c>
      <c r="BY22" s="90">
        <f>IF(L23&gt;N23,1,0)+(L23-N23)*0.1</f>
        <v>-0.2</v>
      </c>
      <c r="BZ22" s="90">
        <f>IF(O23&gt;Q23,1,0)+(O23-Q23)*0.1</f>
        <v>1.3</v>
      </c>
      <c r="CA22" s="90">
        <f>IF(R23&gt;T23,1,0)+(R23-T23)*0.1</f>
        <v>-0.30000000000000004</v>
      </c>
      <c r="CB22" s="165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1.1</v>
      </c>
    </row>
    <row r="23" spans="1:80" ht="18" customHeight="1" thickBot="1" thickTop="1">
      <c r="A23" s="234"/>
      <c r="B23" s="85">
        <v>6</v>
      </c>
      <c r="C23" s="168"/>
      <c r="D23" s="168"/>
      <c r="E23" s="169"/>
      <c r="F23" s="42">
        <f>W8</f>
        <v>2</v>
      </c>
      <c r="G23" s="122">
        <f>IF(F23&gt;H23,"в","")</f>
      </c>
      <c r="H23" s="43">
        <f>U8</f>
        <v>3</v>
      </c>
      <c r="I23" s="42">
        <f>W11</f>
        <v>1</v>
      </c>
      <c r="J23" s="122">
        <f>IF(I23&gt;K23,"в","")</f>
      </c>
      <c r="K23" s="43">
        <f>U11</f>
        <v>3</v>
      </c>
      <c r="L23" s="42">
        <f>W14</f>
        <v>1</v>
      </c>
      <c r="M23" s="122">
        <f>IF(L23&gt;N23,"в","")</f>
      </c>
      <c r="N23" s="43">
        <f>U14</f>
        <v>3</v>
      </c>
      <c r="O23" s="42">
        <f>W17</f>
        <v>3</v>
      </c>
      <c r="P23" s="120" t="str">
        <f>IF(O23&gt;Q23,"в","")</f>
        <v>в</v>
      </c>
      <c r="Q23" s="43">
        <f>U17</f>
        <v>0</v>
      </c>
      <c r="R23" s="42">
        <f>W20</f>
        <v>0</v>
      </c>
      <c r="S23" s="122">
        <f>IF(R23&gt;T23,"в","")</f>
      </c>
      <c r="T23" s="43">
        <f>U20</f>
        <v>3</v>
      </c>
      <c r="U23" s="40"/>
      <c r="V23" s="28">
        <v>6</v>
      </c>
      <c r="W23" s="52"/>
      <c r="X23" s="42">
        <v>3</v>
      </c>
      <c r="Y23" s="120" t="str">
        <f>IF(X23&gt;Z23,"в","")</f>
        <v>в</v>
      </c>
      <c r="Z23" s="43">
        <v>2</v>
      </c>
      <c r="AA23" s="42">
        <v>0</v>
      </c>
      <c r="AB23" s="122">
        <f>IF(AA23&gt;AC23,"в","")</f>
      </c>
      <c r="AC23" s="43">
        <v>3</v>
      </c>
      <c r="AD23" s="42">
        <v>2</v>
      </c>
      <c r="AE23" s="122">
        <f>IF(AD23&gt;AF23,"в","")</f>
      </c>
      <c r="AF23" s="43">
        <v>3</v>
      </c>
      <c r="AG23" s="42">
        <v>3</v>
      </c>
      <c r="AH23" s="120" t="str">
        <f>IF(AG23&gt;AI23,"в","")</f>
        <v>в</v>
      </c>
      <c r="AI23" s="43">
        <v>0</v>
      </c>
      <c r="AJ23" s="42">
        <v>3</v>
      </c>
      <c r="AK23" s="120" t="str">
        <f>IF(AJ23&gt;AL23,"в","")</f>
        <v>в</v>
      </c>
      <c r="AL23" s="43">
        <v>0</v>
      </c>
      <c r="AM23" s="42">
        <v>3</v>
      </c>
      <c r="AN23" s="120" t="str">
        <f>IF(AM23&gt;AO23,"в","")</f>
        <v>в</v>
      </c>
      <c r="AO23" s="43">
        <v>1</v>
      </c>
      <c r="AP23" s="138"/>
      <c r="AQ23" s="139">
        <f>IF(AP23&gt;AR23,"в","")</f>
      </c>
      <c r="AR23" s="140"/>
      <c r="AS23" s="138"/>
      <c r="AT23" s="139">
        <f>IF(AS23&gt;AU23,"в","")</f>
      </c>
      <c r="AU23" s="140"/>
      <c r="AV23" s="202"/>
      <c r="AW23" s="179"/>
      <c r="AX23" s="184"/>
      <c r="AY23" s="183"/>
      <c r="AZ23" s="176"/>
      <c r="BA23" s="174"/>
      <c r="BB23" s="180"/>
      <c r="BC23" s="44">
        <f>BC22*3</f>
        <v>60.507272727272735</v>
      </c>
      <c r="BD23" s="173"/>
      <c r="BE23" s="260"/>
      <c r="BG23" s="236"/>
      <c r="BH23" s="236"/>
      <c r="BK23" s="164"/>
      <c r="BL23" s="165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65"/>
    </row>
    <row r="24" spans="1:80" ht="18" customHeight="1" thickBot="1" thickTop="1">
      <c r="A24" s="234"/>
      <c r="B24" s="86"/>
      <c r="C24" s="170"/>
      <c r="D24" s="170"/>
      <c r="E24" s="171"/>
      <c r="F24" s="47">
        <v>27</v>
      </c>
      <c r="G24" s="48">
        <v>30</v>
      </c>
      <c r="H24" s="49"/>
      <c r="I24" s="47">
        <v>26</v>
      </c>
      <c r="J24" s="48"/>
      <c r="K24" s="49"/>
      <c r="L24" s="47">
        <v>27</v>
      </c>
      <c r="M24" s="48"/>
      <c r="N24" s="49"/>
      <c r="O24" s="47">
        <v>24</v>
      </c>
      <c r="P24" s="48">
        <v>25</v>
      </c>
      <c r="Q24" s="49">
        <v>22</v>
      </c>
      <c r="R24" s="47"/>
      <c r="S24" s="48"/>
      <c r="T24" s="49"/>
      <c r="U24" s="45"/>
      <c r="V24" s="46"/>
      <c r="W24" s="53"/>
      <c r="X24" s="47">
        <v>17</v>
      </c>
      <c r="Y24" s="48">
        <v>16</v>
      </c>
      <c r="Z24" s="49">
        <v>24</v>
      </c>
      <c r="AA24" s="47"/>
      <c r="AB24" s="48"/>
      <c r="AC24" s="49"/>
      <c r="AD24" s="47">
        <v>18</v>
      </c>
      <c r="AE24" s="48">
        <v>29</v>
      </c>
      <c r="AF24" s="49"/>
      <c r="AG24" s="47">
        <v>30</v>
      </c>
      <c r="AH24" s="48">
        <v>26</v>
      </c>
      <c r="AI24" s="49">
        <v>18</v>
      </c>
      <c r="AJ24" s="47">
        <v>29</v>
      </c>
      <c r="AK24" s="48">
        <v>24</v>
      </c>
      <c r="AL24" s="49">
        <v>21</v>
      </c>
      <c r="AM24" s="47">
        <v>32</v>
      </c>
      <c r="AN24" s="48">
        <v>23</v>
      </c>
      <c r="AO24" s="49">
        <v>19</v>
      </c>
      <c r="AP24" s="141"/>
      <c r="AQ24" s="142"/>
      <c r="AR24" s="143"/>
      <c r="AS24" s="141"/>
      <c r="AT24" s="142"/>
      <c r="AU24" s="143"/>
      <c r="AV24" s="203"/>
      <c r="AW24" s="178">
        <f>AW22-AY22</f>
        <v>0</v>
      </c>
      <c r="AX24" s="178"/>
      <c r="AY24" s="178"/>
      <c r="AZ24" s="177"/>
      <c r="BA24" s="174"/>
      <c r="BB24" s="180"/>
      <c r="BC24" s="50">
        <f>AVERAGE(F24:AU24)</f>
        <v>24.142857142857142</v>
      </c>
      <c r="BD24" s="173"/>
      <c r="BE24" s="261"/>
      <c r="BG24" s="236"/>
      <c r="BH24" s="236"/>
      <c r="BK24" s="164"/>
      <c r="BL24" s="165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65"/>
    </row>
    <row r="25" spans="1:80" ht="18" customHeight="1" thickBot="1" thickTop="1">
      <c r="A25" s="234">
        <f>VLOOKUP(C25,Исходник!$A$3:$G$44,7,FALSE)</f>
        <v>13</v>
      </c>
      <c r="B25" s="84"/>
      <c r="C25" s="166" t="str">
        <f>VLOOKUP(B26,Исходник!$K$3:Исходник!$AY$44,41,FALSE)</f>
        <v>Дераков Евгений
СФДМ, Москва</v>
      </c>
      <c r="D25" s="166"/>
      <c r="E25" s="167"/>
      <c r="F25" s="38"/>
      <c r="G25" s="188">
        <v>21.76</v>
      </c>
      <c r="H25" s="189"/>
      <c r="I25" s="38"/>
      <c r="J25" s="188">
        <v>18.8</v>
      </c>
      <c r="K25" s="189"/>
      <c r="L25" s="38"/>
      <c r="M25" s="188">
        <v>17.77</v>
      </c>
      <c r="N25" s="189"/>
      <c r="O25" s="38"/>
      <c r="P25" s="188">
        <v>22</v>
      </c>
      <c r="Q25" s="189"/>
      <c r="R25" s="38"/>
      <c r="S25" s="188">
        <v>16.92</v>
      </c>
      <c r="T25" s="189"/>
      <c r="U25" s="38">
        <v>1</v>
      </c>
      <c r="V25" s="188">
        <v>21.88</v>
      </c>
      <c r="W25" s="189"/>
      <c r="X25" s="26"/>
      <c r="Y25" s="211"/>
      <c r="Z25" s="212"/>
      <c r="AA25" s="38"/>
      <c r="AB25" s="188">
        <v>15.33</v>
      </c>
      <c r="AC25" s="189"/>
      <c r="AD25" s="38"/>
      <c r="AE25" s="188">
        <v>20.26</v>
      </c>
      <c r="AF25" s="189"/>
      <c r="AG25" s="38"/>
      <c r="AH25" s="188">
        <v>21.47</v>
      </c>
      <c r="AI25" s="189"/>
      <c r="AJ25" s="38"/>
      <c r="AK25" s="188">
        <v>20.39</v>
      </c>
      <c r="AL25" s="189"/>
      <c r="AM25" s="38"/>
      <c r="AN25" s="188">
        <v>18.11</v>
      </c>
      <c r="AO25" s="189"/>
      <c r="AP25" s="137"/>
      <c r="AQ25" s="270"/>
      <c r="AR25" s="271"/>
      <c r="AS25" s="137"/>
      <c r="AT25" s="270"/>
      <c r="AU25" s="271"/>
      <c r="AV25" s="201">
        <f>COUNTIF(F26:AU26,"в")</f>
        <v>5</v>
      </c>
      <c r="AW25" s="179">
        <f>F26+I26+L26+O26+R26+U26+X26+AA26+AD26+AG26+AJ26+AM26+AP26+AS26</f>
        <v>21</v>
      </c>
      <c r="AX25" s="184" t="s">
        <v>2</v>
      </c>
      <c r="AY25" s="183">
        <f>AU26+AR26+AO26+AL26+AI26+AF26+AC26+Z26+W26+T26+Q26+N26+K26+H26</f>
        <v>21</v>
      </c>
      <c r="AZ25" s="175">
        <f>IF(BL25=0,0,RANK(BL25,$BL$7:$BL$48,0))</f>
        <v>8</v>
      </c>
      <c r="BA25" s="174">
        <f>IF(BL25=0,0,VLOOKUP(AZ25,$BG$7:$BH$48,2,FALSE))</f>
        <v>12</v>
      </c>
      <c r="BB25" s="180">
        <f>A25+BA25</f>
        <v>25</v>
      </c>
      <c r="BC25" s="39">
        <f>AVERAGE(G25,J25,M25,P25,S25,V25,Y25,AB25,AE25,AH25,AK25,AN25,AQ25,AT25)</f>
        <v>19.517272727272726</v>
      </c>
      <c r="BD25" s="172">
        <f>F25+AS25+AP25+AM25+AJ25+AG25+AD25+AA25+X25+U25+R25+O25+L25+I25</f>
        <v>1</v>
      </c>
      <c r="BE25" s="262">
        <v>139</v>
      </c>
      <c r="BG25" s="236">
        <v>7</v>
      </c>
      <c r="BH25" s="236">
        <v>13</v>
      </c>
      <c r="BK25" s="164">
        <f>IF((AV25+AW27*0.001)=0,0,AV25+AW27*0.001+1)</f>
        <v>6</v>
      </c>
      <c r="BL25" s="165">
        <f>BK25+CB25*0.0001</f>
        <v>5.99999</v>
      </c>
      <c r="BM25" s="88"/>
      <c r="BN25" s="89">
        <f>IF(X26&gt;Z26,1,0)+(X26-Z26)*0.1</f>
        <v>0</v>
      </c>
      <c r="BO25" s="90">
        <f>IF(AA26&gt;AC26,1,0)+(AA26-AC26)*0.1</f>
        <v>1.3</v>
      </c>
      <c r="BP25" s="90">
        <f>IF(AD26&gt;AF26,1,0)+(AD26-AF26)*0.1</f>
        <v>-0.30000000000000004</v>
      </c>
      <c r="BQ25" s="90">
        <f>IF(AG26&gt;AI26,1,0)+(AG26-AI26)*0.1</f>
        <v>1.3</v>
      </c>
      <c r="BR25" s="90">
        <f>IF(AJ26&gt;AL26,1,0)+(AJ26-AL26)*0.1</f>
        <v>1.2</v>
      </c>
      <c r="BS25" s="90">
        <f>IF(AM26&gt;AO26,1,0)+(AM26-AO26)*0.1</f>
        <v>1.3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1.1</v>
      </c>
      <c r="BW25" s="90">
        <f>IF(I26&gt;K26,1,0)+(I26-K26)*0.1</f>
        <v>-0.2</v>
      </c>
      <c r="BX25" s="90">
        <f>IF(L26&gt;N26,1,0)+(L26-N26)*0.1</f>
        <v>-0.30000000000000004</v>
      </c>
      <c r="BY25" s="90">
        <f>IF(O26&gt;Q26,1,0)+(O26-Q26)*0.1</f>
        <v>-0.1</v>
      </c>
      <c r="BZ25" s="90">
        <f>IF(R26&gt;T26,1,0)+(R26-T26)*0.1</f>
        <v>-0.2</v>
      </c>
      <c r="CA25" s="90">
        <f>IF(U26&gt;W26,1,0)+(U26-W26)*0.1</f>
        <v>-0.1</v>
      </c>
      <c r="CB25" s="165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-0.1</v>
      </c>
    </row>
    <row r="26" spans="1:80" ht="18" customHeight="1" thickBot="1" thickTop="1">
      <c r="A26" s="234"/>
      <c r="B26" s="85">
        <v>7</v>
      </c>
      <c r="C26" s="168"/>
      <c r="D26" s="168"/>
      <c r="E26" s="169"/>
      <c r="F26" s="42">
        <f>Z8</f>
        <v>3</v>
      </c>
      <c r="G26" s="120" t="str">
        <f>IF(F26&gt;H26,"в","")</f>
        <v>в</v>
      </c>
      <c r="H26" s="43">
        <f>X8</f>
        <v>2</v>
      </c>
      <c r="I26" s="42">
        <f>Z11</f>
        <v>1</v>
      </c>
      <c r="J26" s="122">
        <f>IF(I26&gt;K26,"в","")</f>
      </c>
      <c r="K26" s="43">
        <f>X11</f>
        <v>3</v>
      </c>
      <c r="L26" s="42">
        <f>Z14</f>
        <v>0</v>
      </c>
      <c r="M26" s="122">
        <f>IF(L26&gt;N26,"в","")</f>
      </c>
      <c r="N26" s="43">
        <f>X14</f>
        <v>3</v>
      </c>
      <c r="O26" s="42">
        <f>Z17</f>
        <v>2</v>
      </c>
      <c r="P26" s="122">
        <f>IF(O26&gt;Q26,"в","")</f>
      </c>
      <c r="Q26" s="43">
        <f>X17</f>
        <v>3</v>
      </c>
      <c r="R26" s="42">
        <f>Z20</f>
        <v>1</v>
      </c>
      <c r="S26" s="122">
        <f>IF(R26&gt;T26,"в","")</f>
      </c>
      <c r="T26" s="43">
        <f>X20</f>
        <v>3</v>
      </c>
      <c r="U26" s="42">
        <f>Z23</f>
        <v>2</v>
      </c>
      <c r="V26" s="122">
        <f>IF(U26&gt;W26,"в","")</f>
      </c>
      <c r="W26" s="43">
        <f>X23</f>
        <v>3</v>
      </c>
      <c r="X26" s="40"/>
      <c r="Y26" s="28">
        <v>7</v>
      </c>
      <c r="Z26" s="52"/>
      <c r="AA26" s="42">
        <v>3</v>
      </c>
      <c r="AB26" s="120" t="str">
        <f>IF(AA26&gt;AC26,"в","")</f>
        <v>в</v>
      </c>
      <c r="AC26" s="43">
        <v>0</v>
      </c>
      <c r="AD26" s="42">
        <v>0</v>
      </c>
      <c r="AE26" s="122">
        <f>IF(AD26&gt;AF26,"в","")</f>
      </c>
      <c r="AF26" s="43">
        <v>3</v>
      </c>
      <c r="AG26" s="42">
        <v>3</v>
      </c>
      <c r="AH26" s="120" t="str">
        <f>IF(AG26&gt;AI26,"в","")</f>
        <v>в</v>
      </c>
      <c r="AI26" s="43">
        <v>0</v>
      </c>
      <c r="AJ26" s="42">
        <v>3</v>
      </c>
      <c r="AK26" s="120" t="str">
        <f>IF(AJ26&gt;AL26,"в","")</f>
        <v>в</v>
      </c>
      <c r="AL26" s="43">
        <v>1</v>
      </c>
      <c r="AM26" s="42">
        <v>3</v>
      </c>
      <c r="AN26" s="120" t="str">
        <f>IF(AM26&gt;AO26,"в","")</f>
        <v>в</v>
      </c>
      <c r="AO26" s="43">
        <v>0</v>
      </c>
      <c r="AP26" s="138"/>
      <c r="AQ26" s="139">
        <f>IF(AP26&gt;AR26,"в","")</f>
      </c>
      <c r="AR26" s="140"/>
      <c r="AS26" s="138"/>
      <c r="AT26" s="139">
        <f>IF(AS26&gt;AU26,"в","")</f>
      </c>
      <c r="AU26" s="140"/>
      <c r="AV26" s="202"/>
      <c r="AW26" s="179"/>
      <c r="AX26" s="184"/>
      <c r="AY26" s="183"/>
      <c r="AZ26" s="176"/>
      <c r="BA26" s="174"/>
      <c r="BB26" s="180"/>
      <c r="BC26" s="44">
        <f>BC25*3</f>
        <v>58.55181818181818</v>
      </c>
      <c r="BD26" s="173"/>
      <c r="BE26" s="260"/>
      <c r="BG26" s="236"/>
      <c r="BH26" s="236"/>
      <c r="BK26" s="164"/>
      <c r="BL26" s="165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65"/>
    </row>
    <row r="27" spans="1:80" ht="18" customHeight="1" thickBot="1" thickTop="1">
      <c r="A27" s="234"/>
      <c r="B27" s="86"/>
      <c r="C27" s="170"/>
      <c r="D27" s="170"/>
      <c r="E27" s="171"/>
      <c r="F27" s="47">
        <v>28</v>
      </c>
      <c r="G27" s="48">
        <v>21</v>
      </c>
      <c r="H27" s="49">
        <v>21</v>
      </c>
      <c r="I27" s="47">
        <v>25</v>
      </c>
      <c r="J27" s="48"/>
      <c r="K27" s="49"/>
      <c r="L27" s="47"/>
      <c r="M27" s="48"/>
      <c r="N27" s="49"/>
      <c r="O27" s="47">
        <v>22</v>
      </c>
      <c r="P27" s="48">
        <v>20</v>
      </c>
      <c r="Q27" s="49"/>
      <c r="R27" s="47">
        <v>38</v>
      </c>
      <c r="S27" s="48"/>
      <c r="T27" s="49"/>
      <c r="U27" s="47">
        <v>20</v>
      </c>
      <c r="V27" s="48">
        <v>23</v>
      </c>
      <c r="W27" s="49"/>
      <c r="X27" s="45"/>
      <c r="Y27" s="46"/>
      <c r="Z27" s="53"/>
      <c r="AA27" s="47">
        <v>26</v>
      </c>
      <c r="AB27" s="48">
        <v>23</v>
      </c>
      <c r="AC27" s="49">
        <v>49</v>
      </c>
      <c r="AD27" s="47"/>
      <c r="AE27" s="48"/>
      <c r="AF27" s="49"/>
      <c r="AG27" s="47">
        <v>29</v>
      </c>
      <c r="AH27" s="48">
        <v>14</v>
      </c>
      <c r="AI27" s="49">
        <v>27</v>
      </c>
      <c r="AJ27" s="47">
        <v>26</v>
      </c>
      <c r="AK27" s="48">
        <v>22</v>
      </c>
      <c r="AL27" s="49">
        <v>28</v>
      </c>
      <c r="AM27" s="47">
        <v>24</v>
      </c>
      <c r="AN27" s="48">
        <v>32</v>
      </c>
      <c r="AO27" s="49">
        <v>27</v>
      </c>
      <c r="AP27" s="141"/>
      <c r="AQ27" s="142"/>
      <c r="AR27" s="143"/>
      <c r="AS27" s="141"/>
      <c r="AT27" s="142"/>
      <c r="AU27" s="143"/>
      <c r="AV27" s="203"/>
      <c r="AW27" s="178">
        <f>AW25-AY25</f>
        <v>0</v>
      </c>
      <c r="AX27" s="178"/>
      <c r="AY27" s="178"/>
      <c r="AZ27" s="177"/>
      <c r="BA27" s="174"/>
      <c r="BB27" s="180"/>
      <c r="BC27" s="50">
        <f>AVERAGE(F27:AU27)</f>
        <v>25.952380952380953</v>
      </c>
      <c r="BD27" s="173"/>
      <c r="BE27" s="261"/>
      <c r="BG27" s="236"/>
      <c r="BH27" s="236"/>
      <c r="BK27" s="164"/>
      <c r="BL27" s="165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65"/>
    </row>
    <row r="28" spans="1:80" ht="18" customHeight="1" thickBot="1" thickTop="1">
      <c r="A28" s="234">
        <f>VLOOKUP(C28,Исходник!$A$3:$G$44,7,FALSE)</f>
        <v>12</v>
      </c>
      <c r="B28" s="84"/>
      <c r="C28" s="166" t="str">
        <f>VLOOKUP(B29,Исходник!$K$3:Исходник!$AY$44,41,FALSE)</f>
        <v>Борисов Андрей
СФДМ, Москва</v>
      </c>
      <c r="D28" s="166"/>
      <c r="E28" s="167"/>
      <c r="F28" s="51"/>
      <c r="G28" s="188">
        <v>16.66</v>
      </c>
      <c r="H28" s="189"/>
      <c r="I28" s="38"/>
      <c r="J28" s="188">
        <v>20</v>
      </c>
      <c r="K28" s="189"/>
      <c r="L28" s="38"/>
      <c r="M28" s="188">
        <v>17</v>
      </c>
      <c r="N28" s="189"/>
      <c r="O28" s="38"/>
      <c r="P28" s="188">
        <v>21.22</v>
      </c>
      <c r="Q28" s="189"/>
      <c r="R28" s="51"/>
      <c r="S28" s="188">
        <v>19.62</v>
      </c>
      <c r="T28" s="189"/>
      <c r="U28" s="38"/>
      <c r="V28" s="188">
        <v>18.11</v>
      </c>
      <c r="W28" s="189"/>
      <c r="X28" s="38"/>
      <c r="Y28" s="188">
        <v>13.55</v>
      </c>
      <c r="Z28" s="189"/>
      <c r="AA28" s="26"/>
      <c r="AB28" s="211"/>
      <c r="AC28" s="212"/>
      <c r="AD28" s="38"/>
      <c r="AE28" s="188">
        <v>19.14</v>
      </c>
      <c r="AF28" s="189"/>
      <c r="AG28" s="38"/>
      <c r="AH28" s="188">
        <v>20.33</v>
      </c>
      <c r="AI28" s="189"/>
      <c r="AJ28" s="38"/>
      <c r="AK28" s="188">
        <v>21.17</v>
      </c>
      <c r="AL28" s="189"/>
      <c r="AM28" s="38"/>
      <c r="AN28" s="188">
        <v>17.78</v>
      </c>
      <c r="AO28" s="189"/>
      <c r="AP28" s="137"/>
      <c r="AQ28" s="270"/>
      <c r="AR28" s="271"/>
      <c r="AS28" s="137"/>
      <c r="AT28" s="270"/>
      <c r="AU28" s="271"/>
      <c r="AV28" s="201">
        <f>COUNTIF(F29:AU29,"в")</f>
        <v>4</v>
      </c>
      <c r="AW28" s="179">
        <f>F29+I29+L29+O29+R29+U29+X29+AA29+AD29+AG29+AJ29+AM29+AP29+AS29</f>
        <v>19</v>
      </c>
      <c r="AX28" s="184" t="s">
        <v>2</v>
      </c>
      <c r="AY28" s="183">
        <f>AU29+AR29+AO29+AL29+AI29+AF29+AC29+Z29+W29+T29+Q29+N29+K29+H29</f>
        <v>22</v>
      </c>
      <c r="AZ28" s="175">
        <f>IF(BL28=0,0,RANK(BL28,$BL$7:$BL$48,0))</f>
        <v>9</v>
      </c>
      <c r="BA28" s="174">
        <f>IF(BL28=0,0,VLOOKUP(AZ28,$BG$7:$BH$48,2,FALSE))</f>
        <v>9</v>
      </c>
      <c r="BB28" s="180">
        <f>A28+BA28</f>
        <v>21</v>
      </c>
      <c r="BC28" s="39">
        <f>AVERAGE(G28,J28,M28,P28,S28,V28,Y28,AB28,AE28,AH28,AK28,AN28,AQ28,AT28)</f>
        <v>18.598181818181818</v>
      </c>
      <c r="BD28" s="172">
        <f>F28+AS28+AP28+AM28+AJ28+AG28+AD28+AA28+X28+U28+R28+O28+L28+I28</f>
        <v>0</v>
      </c>
      <c r="BE28" s="262">
        <v>102</v>
      </c>
      <c r="BG28" s="236">
        <v>8</v>
      </c>
      <c r="BH28" s="236">
        <v>12</v>
      </c>
      <c r="BK28" s="164">
        <f>IF((AV28+AW30*0.001)=0,0,AV28+AW30*0.001+1)</f>
        <v>4.997</v>
      </c>
      <c r="BL28" s="165">
        <f>BK28+CB28*0.0001</f>
        <v>4.997</v>
      </c>
      <c r="BM28" s="88"/>
      <c r="BN28" s="89">
        <f>IF(AA29&gt;AC29,1,0)+(AA29-AC29)*0.1</f>
        <v>0</v>
      </c>
      <c r="BO28" s="90">
        <f>IF(AD29&gt;AF29,1,0)+(AD29-AF29)*0.1</f>
        <v>-0.2</v>
      </c>
      <c r="BP28" s="90">
        <f>IF(AG29&gt;AI29,1,0)+(AG29-AI29)*0.1</f>
        <v>1.3</v>
      </c>
      <c r="BQ28" s="90">
        <f>IF(AJ29&gt;AL29,1,0)+(AJ29-AL29)*0.1</f>
        <v>1.3</v>
      </c>
      <c r="BR28" s="90">
        <f>IF(AM29&gt;AO29,1,0)+(AM29-AO29)*0.1</f>
        <v>1.2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-0.2</v>
      </c>
      <c r="BV28" s="90">
        <f>IF(I29&gt;K29,1,0)+(I29-K29)*0.1</f>
        <v>-0.1</v>
      </c>
      <c r="BW28" s="90">
        <f>IF(L29&gt;N29,1,0)+(L29-N29)*0.1</f>
        <v>-0.30000000000000004</v>
      </c>
      <c r="BX28" s="90">
        <f>IF(O29&gt;Q29,1,0)+(O29-Q29)*0.1</f>
        <v>-0.1</v>
      </c>
      <c r="BY28" s="90">
        <f>IF(R29&gt;T29,1,0)+(R29-T29)*0.1</f>
        <v>-0.2</v>
      </c>
      <c r="BZ28" s="90">
        <f>IF(U29&gt;W29,1,0)+(U29-W29)*0.1</f>
        <v>1.3</v>
      </c>
      <c r="CA28" s="90">
        <f>IF(X29&gt;Z29,1,0)+(X29-Z29)*0.1</f>
        <v>-0.30000000000000004</v>
      </c>
      <c r="CB28" s="165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34"/>
      <c r="B29" s="85">
        <v>8</v>
      </c>
      <c r="C29" s="168"/>
      <c r="D29" s="168"/>
      <c r="E29" s="169"/>
      <c r="F29" s="42">
        <f>AC8</f>
        <v>1</v>
      </c>
      <c r="G29" s="122">
        <f>IF(F29&gt;H29,"в","")</f>
      </c>
      <c r="H29" s="43">
        <f>AA8</f>
        <v>3</v>
      </c>
      <c r="I29" s="42">
        <f>AC11</f>
        <v>2</v>
      </c>
      <c r="J29" s="122">
        <f>IF(I29&gt;K29,"в","")</f>
      </c>
      <c r="K29" s="43">
        <f>AA11</f>
        <v>3</v>
      </c>
      <c r="L29" s="42">
        <f>AC14</f>
        <v>0</v>
      </c>
      <c r="M29" s="122">
        <f>IF(L29&gt;N29,"в","")</f>
      </c>
      <c r="N29" s="43">
        <f>AA14</f>
        <v>3</v>
      </c>
      <c r="O29" s="42">
        <f>AC17</f>
        <v>2</v>
      </c>
      <c r="P29" s="122">
        <f>IF(O29&gt;Q29,"в","")</f>
      </c>
      <c r="Q29" s="43">
        <f>AA17</f>
        <v>3</v>
      </c>
      <c r="R29" s="42">
        <f>AC20</f>
        <v>1</v>
      </c>
      <c r="S29" s="122">
        <f>IF(R29&gt;T29,"в","")</f>
      </c>
      <c r="T29" s="43">
        <f>AA20</f>
        <v>3</v>
      </c>
      <c r="U29" s="42">
        <f>AC23</f>
        <v>3</v>
      </c>
      <c r="V29" s="120" t="str">
        <f>IF(U29&gt;W29,"в","")</f>
        <v>в</v>
      </c>
      <c r="W29" s="43">
        <f>AA23</f>
        <v>0</v>
      </c>
      <c r="X29" s="42">
        <f>AC26</f>
        <v>0</v>
      </c>
      <c r="Y29" s="122">
        <f>IF(X29&gt;Z29,"в","")</f>
      </c>
      <c r="Z29" s="43">
        <f>AA26</f>
        <v>3</v>
      </c>
      <c r="AA29" s="40"/>
      <c r="AB29" s="28">
        <v>8</v>
      </c>
      <c r="AC29" s="52"/>
      <c r="AD29" s="42">
        <v>1</v>
      </c>
      <c r="AE29" s="122">
        <f>IF(AD29&gt;AF29,"в","")</f>
      </c>
      <c r="AF29" s="43">
        <v>3</v>
      </c>
      <c r="AG29" s="42">
        <v>3</v>
      </c>
      <c r="AH29" s="120" t="str">
        <f>IF(AG29&gt;AI29,"в","")</f>
        <v>в</v>
      </c>
      <c r="AI29" s="43">
        <v>0</v>
      </c>
      <c r="AJ29" s="42">
        <v>3</v>
      </c>
      <c r="AK29" s="120" t="str">
        <f>IF(AJ29&gt;AL29,"в","")</f>
        <v>в</v>
      </c>
      <c r="AL29" s="43">
        <v>0</v>
      </c>
      <c r="AM29" s="42">
        <v>3</v>
      </c>
      <c r="AN29" s="120" t="str">
        <f>IF(AM29&gt;AO29,"в","")</f>
        <v>в</v>
      </c>
      <c r="AO29" s="43">
        <v>1</v>
      </c>
      <c r="AP29" s="138"/>
      <c r="AQ29" s="139">
        <f>IF(AP29&gt;AR29,"в","")</f>
      </c>
      <c r="AR29" s="140"/>
      <c r="AS29" s="138"/>
      <c r="AT29" s="139">
        <f>IF(AS29&gt;AU29,"в","")</f>
      </c>
      <c r="AU29" s="140"/>
      <c r="AV29" s="202"/>
      <c r="AW29" s="179"/>
      <c r="AX29" s="184"/>
      <c r="AY29" s="183"/>
      <c r="AZ29" s="176"/>
      <c r="BA29" s="174"/>
      <c r="BB29" s="180"/>
      <c r="BC29" s="44">
        <f>BC28*3</f>
        <v>55.79454545454546</v>
      </c>
      <c r="BD29" s="173"/>
      <c r="BE29" s="260"/>
      <c r="BG29" s="236"/>
      <c r="BH29" s="236"/>
      <c r="BK29" s="164"/>
      <c r="BL29" s="165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65"/>
    </row>
    <row r="30" spans="1:80" ht="18" customHeight="1" thickBot="1" thickTop="1">
      <c r="A30" s="234"/>
      <c r="B30" s="86"/>
      <c r="C30" s="170"/>
      <c r="D30" s="170"/>
      <c r="E30" s="171"/>
      <c r="F30" s="47">
        <v>42</v>
      </c>
      <c r="G30" s="48"/>
      <c r="H30" s="49"/>
      <c r="I30" s="47">
        <v>19</v>
      </c>
      <c r="J30" s="48">
        <v>23</v>
      </c>
      <c r="K30" s="49"/>
      <c r="L30" s="47"/>
      <c r="M30" s="48"/>
      <c r="N30" s="49"/>
      <c r="O30" s="47">
        <v>24</v>
      </c>
      <c r="P30" s="48">
        <v>20</v>
      </c>
      <c r="Q30" s="49"/>
      <c r="R30" s="47">
        <v>21</v>
      </c>
      <c r="S30" s="48"/>
      <c r="T30" s="49"/>
      <c r="U30" s="47">
        <v>30</v>
      </c>
      <c r="V30" s="48">
        <v>24</v>
      </c>
      <c r="W30" s="49">
        <v>29</v>
      </c>
      <c r="X30" s="47"/>
      <c r="Y30" s="48"/>
      <c r="Z30" s="49"/>
      <c r="AA30" s="45"/>
      <c r="AB30" s="46"/>
      <c r="AC30" s="53"/>
      <c r="AD30" s="47">
        <v>25</v>
      </c>
      <c r="AE30" s="48"/>
      <c r="AF30" s="49"/>
      <c r="AG30" s="47">
        <v>24</v>
      </c>
      <c r="AH30" s="48">
        <v>24</v>
      </c>
      <c r="AI30" s="49">
        <v>26</v>
      </c>
      <c r="AJ30" s="47">
        <v>27</v>
      </c>
      <c r="AK30" s="48">
        <v>21</v>
      </c>
      <c r="AL30" s="49">
        <v>23</v>
      </c>
      <c r="AM30" s="47">
        <v>32</v>
      </c>
      <c r="AN30" s="48">
        <v>34</v>
      </c>
      <c r="AO30" s="49">
        <v>19</v>
      </c>
      <c r="AP30" s="141"/>
      <c r="AQ30" s="142"/>
      <c r="AR30" s="143"/>
      <c r="AS30" s="141"/>
      <c r="AT30" s="142"/>
      <c r="AU30" s="143"/>
      <c r="AV30" s="203"/>
      <c r="AW30" s="178">
        <f>AW28-AY28</f>
        <v>-3</v>
      </c>
      <c r="AX30" s="178"/>
      <c r="AY30" s="178"/>
      <c r="AZ30" s="177"/>
      <c r="BA30" s="174"/>
      <c r="BB30" s="180"/>
      <c r="BC30" s="50">
        <f>AVERAGE(F30:AU30)</f>
        <v>25.63157894736842</v>
      </c>
      <c r="BD30" s="173"/>
      <c r="BE30" s="261"/>
      <c r="BG30" s="236"/>
      <c r="BH30" s="236"/>
      <c r="BK30" s="164"/>
      <c r="BL30" s="165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65"/>
    </row>
    <row r="31" spans="1:80" ht="18" customHeight="1" thickBot="1" thickTop="1">
      <c r="A31" s="234">
        <f>VLOOKUP(C31,Исходник!$A$3:$G$44,7,FALSE)</f>
        <v>9</v>
      </c>
      <c r="B31" s="84"/>
      <c r="C31" s="166" t="str">
        <f>VLOOKUP(B32,Исходник!$K$3:Исходник!$AY$44,41,FALSE)</f>
        <v>Колпаков Олег
СФДМ, Москва</v>
      </c>
      <c r="D31" s="166"/>
      <c r="E31" s="167"/>
      <c r="F31" s="38"/>
      <c r="G31" s="188">
        <v>18.42</v>
      </c>
      <c r="H31" s="189"/>
      <c r="I31" s="38"/>
      <c r="J31" s="188">
        <v>16.52</v>
      </c>
      <c r="K31" s="189"/>
      <c r="L31" s="38"/>
      <c r="M31" s="188">
        <v>19.69</v>
      </c>
      <c r="N31" s="189"/>
      <c r="O31" s="38"/>
      <c r="P31" s="188">
        <v>20.58</v>
      </c>
      <c r="Q31" s="189"/>
      <c r="R31" s="38">
        <v>2</v>
      </c>
      <c r="S31" s="188">
        <v>20.53</v>
      </c>
      <c r="T31" s="189"/>
      <c r="U31" s="38"/>
      <c r="V31" s="188">
        <v>17.44</v>
      </c>
      <c r="W31" s="189"/>
      <c r="X31" s="38"/>
      <c r="Y31" s="188">
        <v>22.43</v>
      </c>
      <c r="Z31" s="189"/>
      <c r="AA31" s="38"/>
      <c r="AB31" s="188">
        <v>21.94</v>
      </c>
      <c r="AC31" s="189"/>
      <c r="AD31" s="26"/>
      <c r="AE31" s="211"/>
      <c r="AF31" s="212"/>
      <c r="AG31" s="38"/>
      <c r="AH31" s="188">
        <v>19.1</v>
      </c>
      <c r="AI31" s="189"/>
      <c r="AJ31" s="38"/>
      <c r="AK31" s="188">
        <v>22.61</v>
      </c>
      <c r="AL31" s="189"/>
      <c r="AM31" s="38"/>
      <c r="AN31" s="188">
        <v>21.11</v>
      </c>
      <c r="AO31" s="189"/>
      <c r="AP31" s="137"/>
      <c r="AQ31" s="270"/>
      <c r="AR31" s="271"/>
      <c r="AS31" s="137"/>
      <c r="AT31" s="270"/>
      <c r="AU31" s="271"/>
      <c r="AV31" s="201">
        <f>COUNTIF(F32:AU32,"в")</f>
        <v>8</v>
      </c>
      <c r="AW31" s="179">
        <f>F32+I32+L32+O32+R32+U32+X32+AA32+AD32+AG32+AJ32+AM32+AP32+AS32</f>
        <v>26</v>
      </c>
      <c r="AX31" s="184" t="s">
        <v>2</v>
      </c>
      <c r="AY31" s="183">
        <f>AU32+AR32+AO32+AL32+AI32+AF32+AC32+Z32+W32+T32+Q32+N32+K32+H32</f>
        <v>21</v>
      </c>
      <c r="AZ31" s="175">
        <f>IF(BL31=0,0,RANK(BL31,$BL$7:$BL$48,0))</f>
        <v>4</v>
      </c>
      <c r="BA31" s="174">
        <f>IF(BL31=0,0,VLOOKUP(AZ31,$BG$7:$BH$48,2,FALSE))</f>
        <v>20</v>
      </c>
      <c r="BB31" s="180">
        <f>A31+BA31</f>
        <v>29</v>
      </c>
      <c r="BC31" s="39">
        <f>AVERAGE(G31,J31,M31,P31,S31,V31,Y31,AB31,AE31,AH31,AK31,AN31,AQ31,AT31)</f>
        <v>20.033636363636365</v>
      </c>
      <c r="BD31" s="172">
        <f>F31+AS31+AP31+AM31+AJ31+AG31+AD31+AA31+X31+U31+R31+O31+L31+I31</f>
        <v>2</v>
      </c>
      <c r="BE31" s="262"/>
      <c r="BG31" s="236">
        <v>9</v>
      </c>
      <c r="BH31" s="236">
        <v>9</v>
      </c>
      <c r="BK31" s="164">
        <f>IF((AV31+AW33*0.001)=0,0,AV31+AW33*0.001+1)</f>
        <v>9.005</v>
      </c>
      <c r="BL31" s="165">
        <f>BK31+CB31*0.0001</f>
        <v>9.005</v>
      </c>
      <c r="BM31" s="88"/>
      <c r="BN31" s="89">
        <f>IF(AD32&gt;AF32,1,0)+(AD32-AF32)*0.1</f>
        <v>0</v>
      </c>
      <c r="BO31" s="90">
        <f>IF(AG32&gt;AI32,1,0)+(AG32-AI32)*0.1</f>
        <v>1.1</v>
      </c>
      <c r="BP31" s="90">
        <f>IF(AJ32&gt;AL32,1,0)+(AJ32-AL32)*0.1</f>
        <v>1.2</v>
      </c>
      <c r="BQ31" s="90">
        <f>IF(AM32&gt;AO32,1,0)+(AM32-AO32)*0.1</f>
        <v>1.1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-0.2</v>
      </c>
      <c r="BU31" s="90">
        <f>IF(I32&gt;K32,1,0)+(I32-K32)*0.1</f>
        <v>-0.2</v>
      </c>
      <c r="BV31" s="90">
        <f>IF(L32&gt;N32,1,0)+(L32-N32)*0.1</f>
        <v>-0.30000000000000004</v>
      </c>
      <c r="BW31" s="90">
        <f>IF(O32&gt;Q32,1,0)+(O32-Q32)*0.1</f>
        <v>1.1</v>
      </c>
      <c r="BX31" s="90">
        <f>IF(R32&gt;T32,1,0)+(R32-T32)*0.1</f>
        <v>1.1</v>
      </c>
      <c r="BY31" s="90">
        <f>IF(U32&gt;W32,1,0)+(U32-W32)*0.1</f>
        <v>1.1</v>
      </c>
      <c r="BZ31" s="90">
        <f>IF(X32&gt;Z32,1,0)+(X32-Z32)*0.1</f>
        <v>1.3</v>
      </c>
      <c r="CA31" s="90">
        <f>IF(AA32&gt;AC32,1,0)+(AA32-AC32)*0.1</f>
        <v>1.2</v>
      </c>
      <c r="CB31" s="165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34"/>
      <c r="B32" s="85">
        <v>9</v>
      </c>
      <c r="C32" s="168"/>
      <c r="D32" s="168"/>
      <c r="E32" s="169"/>
      <c r="F32" s="42">
        <f>AF8</f>
        <v>1</v>
      </c>
      <c r="G32" s="122">
        <f>IF(F32&gt;H32,"в","")</f>
      </c>
      <c r="H32" s="43">
        <f>AD8</f>
        <v>3</v>
      </c>
      <c r="I32" s="42">
        <f>AF11</f>
        <v>1</v>
      </c>
      <c r="J32" s="122">
        <f>IF(I32&gt;K32,"в","")</f>
      </c>
      <c r="K32" s="43">
        <f>AD11</f>
        <v>3</v>
      </c>
      <c r="L32" s="42">
        <f>AF14</f>
        <v>0</v>
      </c>
      <c r="M32" s="122">
        <f>IF(L32&gt;N32,"в","")</f>
      </c>
      <c r="N32" s="43">
        <f>AD14</f>
        <v>3</v>
      </c>
      <c r="O32" s="42">
        <f>AF17</f>
        <v>3</v>
      </c>
      <c r="P32" s="120" t="str">
        <f>IF(O32&gt;Q32,"в","")</f>
        <v>в</v>
      </c>
      <c r="Q32" s="43">
        <f>AD17</f>
        <v>2</v>
      </c>
      <c r="R32" s="42">
        <f>AF20</f>
        <v>3</v>
      </c>
      <c r="S32" s="120" t="str">
        <f>IF(R32&gt;T32,"в","")</f>
        <v>в</v>
      </c>
      <c r="T32" s="43">
        <f>AD20</f>
        <v>2</v>
      </c>
      <c r="U32" s="42">
        <f>AF23</f>
        <v>3</v>
      </c>
      <c r="V32" s="120" t="str">
        <f>IF(U32&gt;W32,"в","")</f>
        <v>в</v>
      </c>
      <c r="W32" s="43">
        <f>AD23</f>
        <v>2</v>
      </c>
      <c r="X32" s="42">
        <f>AF26</f>
        <v>3</v>
      </c>
      <c r="Y32" s="120" t="str">
        <f>IF(X32&gt;Z32,"в","")</f>
        <v>в</v>
      </c>
      <c r="Z32" s="43">
        <f>AD26</f>
        <v>0</v>
      </c>
      <c r="AA32" s="42">
        <f>AF29</f>
        <v>3</v>
      </c>
      <c r="AB32" s="120" t="str">
        <f>IF(AA32&gt;AC32,"в","")</f>
        <v>в</v>
      </c>
      <c r="AC32" s="43">
        <f>AD29</f>
        <v>1</v>
      </c>
      <c r="AD32" s="40"/>
      <c r="AE32" s="28">
        <v>9</v>
      </c>
      <c r="AF32" s="52"/>
      <c r="AG32" s="42">
        <v>3</v>
      </c>
      <c r="AH32" s="120" t="str">
        <f>IF(AG32&gt;AI32,"в","")</f>
        <v>в</v>
      </c>
      <c r="AI32" s="43">
        <v>2</v>
      </c>
      <c r="AJ32" s="42">
        <v>3</v>
      </c>
      <c r="AK32" s="120" t="str">
        <f>IF(AJ32&gt;AL32,"в","")</f>
        <v>в</v>
      </c>
      <c r="AL32" s="43">
        <v>1</v>
      </c>
      <c r="AM32" s="42">
        <v>3</v>
      </c>
      <c r="AN32" s="120" t="str">
        <f>IF(AM32&gt;AO32,"в","")</f>
        <v>в</v>
      </c>
      <c r="AO32" s="43">
        <v>2</v>
      </c>
      <c r="AP32" s="138"/>
      <c r="AQ32" s="139">
        <f>IF(AP32&gt;AR32,"в","")</f>
      </c>
      <c r="AR32" s="140"/>
      <c r="AS32" s="138"/>
      <c r="AT32" s="139">
        <f>IF(AS32&gt;AU32,"в","")</f>
      </c>
      <c r="AU32" s="140"/>
      <c r="AV32" s="202"/>
      <c r="AW32" s="179"/>
      <c r="AX32" s="184"/>
      <c r="AY32" s="183"/>
      <c r="AZ32" s="176"/>
      <c r="BA32" s="174"/>
      <c r="BB32" s="180"/>
      <c r="BC32" s="44">
        <f>BC31*3</f>
        <v>60.1009090909091</v>
      </c>
      <c r="BD32" s="173"/>
      <c r="BE32" s="260"/>
      <c r="BG32" s="236"/>
      <c r="BH32" s="236"/>
      <c r="BK32" s="164"/>
      <c r="BL32" s="165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65"/>
    </row>
    <row r="33" spans="1:80" ht="18" customHeight="1" thickBot="1" thickTop="1">
      <c r="A33" s="234"/>
      <c r="B33" s="86"/>
      <c r="C33" s="170"/>
      <c r="D33" s="170"/>
      <c r="E33" s="171"/>
      <c r="F33" s="47">
        <v>26</v>
      </c>
      <c r="G33" s="48"/>
      <c r="H33" s="49"/>
      <c r="I33" s="47">
        <v>24</v>
      </c>
      <c r="J33" s="48"/>
      <c r="K33" s="49"/>
      <c r="L33" s="47"/>
      <c r="M33" s="48"/>
      <c r="N33" s="49"/>
      <c r="O33" s="47">
        <v>20</v>
      </c>
      <c r="P33" s="48">
        <v>24</v>
      </c>
      <c r="Q33" s="49">
        <v>25</v>
      </c>
      <c r="R33" s="47">
        <v>22</v>
      </c>
      <c r="S33" s="48">
        <v>26</v>
      </c>
      <c r="T33" s="49">
        <v>17</v>
      </c>
      <c r="U33" s="47">
        <v>34</v>
      </c>
      <c r="V33" s="48">
        <v>26</v>
      </c>
      <c r="W33" s="49">
        <v>23</v>
      </c>
      <c r="X33" s="47">
        <v>27</v>
      </c>
      <c r="Y33" s="48">
        <v>19</v>
      </c>
      <c r="Z33" s="49">
        <v>21</v>
      </c>
      <c r="AA33" s="47">
        <v>21</v>
      </c>
      <c r="AB33" s="48">
        <v>20</v>
      </c>
      <c r="AC33" s="49">
        <v>25</v>
      </c>
      <c r="AD33" s="45"/>
      <c r="AE33" s="46"/>
      <c r="AF33" s="53"/>
      <c r="AG33" s="47">
        <v>24</v>
      </c>
      <c r="AH33" s="48">
        <v>21</v>
      </c>
      <c r="AI33" s="49">
        <v>30</v>
      </c>
      <c r="AJ33" s="47">
        <v>22</v>
      </c>
      <c r="AK33" s="48">
        <v>18</v>
      </c>
      <c r="AL33" s="49">
        <v>26</v>
      </c>
      <c r="AM33" s="47">
        <v>24</v>
      </c>
      <c r="AN33" s="48">
        <v>28</v>
      </c>
      <c r="AO33" s="49">
        <v>30</v>
      </c>
      <c r="AP33" s="141"/>
      <c r="AQ33" s="142"/>
      <c r="AR33" s="143"/>
      <c r="AS33" s="141"/>
      <c r="AT33" s="142"/>
      <c r="AU33" s="143"/>
      <c r="AV33" s="203"/>
      <c r="AW33" s="178">
        <f>AW31-AY31</f>
        <v>5</v>
      </c>
      <c r="AX33" s="178"/>
      <c r="AY33" s="178"/>
      <c r="AZ33" s="177"/>
      <c r="BA33" s="174"/>
      <c r="BB33" s="180"/>
      <c r="BC33" s="50">
        <f>AVERAGE(F33:AU33)</f>
        <v>23.96153846153846</v>
      </c>
      <c r="BD33" s="173"/>
      <c r="BE33" s="261"/>
      <c r="BG33" s="236"/>
      <c r="BH33" s="236"/>
      <c r="BK33" s="164"/>
      <c r="BL33" s="165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65"/>
    </row>
    <row r="34" spans="1:80" ht="18" customHeight="1" thickBot="1" thickTop="1">
      <c r="A34" s="234">
        <f>VLOOKUP(C34,Исходник!$A$3:$G$44,7,FALSE)</f>
        <v>6</v>
      </c>
      <c r="B34" s="84"/>
      <c r="C34" s="166" t="str">
        <f>VLOOKUP(B35,Исходник!$K$3:Исходник!$AY$44,41,FALSE)</f>
        <v>Конюхов Александр
СФДМ, Москва</v>
      </c>
      <c r="D34" s="166"/>
      <c r="E34" s="167"/>
      <c r="F34" s="51"/>
      <c r="G34" s="188">
        <v>17.36</v>
      </c>
      <c r="H34" s="189"/>
      <c r="I34" s="51"/>
      <c r="J34" s="188">
        <v>18.4</v>
      </c>
      <c r="K34" s="189"/>
      <c r="L34" s="51"/>
      <c r="M34" s="188">
        <v>20.98</v>
      </c>
      <c r="N34" s="189"/>
      <c r="O34" s="38"/>
      <c r="P34" s="188">
        <v>18.3</v>
      </c>
      <c r="Q34" s="189"/>
      <c r="R34" s="38"/>
      <c r="S34" s="188"/>
      <c r="T34" s="189"/>
      <c r="U34" s="51"/>
      <c r="V34" s="188">
        <v>18.93</v>
      </c>
      <c r="W34" s="189"/>
      <c r="X34" s="38"/>
      <c r="Y34" s="188">
        <v>19.57</v>
      </c>
      <c r="Z34" s="189"/>
      <c r="AA34" s="51"/>
      <c r="AB34" s="188">
        <v>16.33</v>
      </c>
      <c r="AC34" s="189"/>
      <c r="AD34" s="51"/>
      <c r="AE34" s="188">
        <v>16.11</v>
      </c>
      <c r="AF34" s="189"/>
      <c r="AG34" s="26"/>
      <c r="AH34" s="211"/>
      <c r="AI34" s="212"/>
      <c r="AJ34" s="38"/>
      <c r="AK34" s="188">
        <v>17.63</v>
      </c>
      <c r="AL34" s="189"/>
      <c r="AM34" s="38"/>
      <c r="AN34" s="188">
        <v>17.79</v>
      </c>
      <c r="AO34" s="189"/>
      <c r="AP34" s="137"/>
      <c r="AQ34" s="270"/>
      <c r="AR34" s="271"/>
      <c r="AS34" s="137"/>
      <c r="AT34" s="270"/>
      <c r="AU34" s="271"/>
      <c r="AV34" s="201">
        <f>COUNTIF(F35:AU35,"в")</f>
        <v>3</v>
      </c>
      <c r="AW34" s="179">
        <f>F35+I35+L35+O35+R35+U35+X35+AA35+AD35+AG35+AJ35+AM35+AP35+AS35</f>
        <v>12</v>
      </c>
      <c r="AX34" s="184" t="s">
        <v>2</v>
      </c>
      <c r="AY34" s="183">
        <f>AU35+AR35+AO35+AL35+AI35+AF35+AC35+Z35+W35+T35+Q35+N35+K35+H35</f>
        <v>26</v>
      </c>
      <c r="AZ34" s="175">
        <f>IF(BL34=0,0,RANK(BL34,$BL$7:$BL$48,0))</f>
        <v>10</v>
      </c>
      <c r="BA34" s="174">
        <f>IF(BL34=0,0,VLOOKUP(AZ34,$BG$7:$BH$48,2,FALSE))</f>
        <v>8</v>
      </c>
      <c r="BB34" s="180">
        <f>A34+BA34</f>
        <v>14</v>
      </c>
      <c r="BC34" s="39">
        <f>AVERAGE(G34,J34,M34,P34,S34,V34,Y34,AB34,AE34,AH34,AK34,AN34,AQ34,AT34)</f>
        <v>18.14</v>
      </c>
      <c r="BD34" s="172">
        <f>F34+AS34+AP34+AM34+AJ34+AG34+AD34+AA34+X34+U34+R34+O34+L34+I34</f>
        <v>0</v>
      </c>
      <c r="BE34" s="259"/>
      <c r="BG34" s="236">
        <v>10</v>
      </c>
      <c r="BH34" s="236">
        <v>8</v>
      </c>
      <c r="BK34" s="164">
        <f>IF((AV34+AW36*0.001)=0,0,AV34+AW36*0.001+1)</f>
        <v>3.986</v>
      </c>
      <c r="BL34" s="165">
        <f>BK34+CB34*0.0001</f>
        <v>3.986</v>
      </c>
      <c r="BM34" s="88"/>
      <c r="BN34" s="89">
        <f>IF(AG35&gt;AI35,1,0)+(AG35-AI35)*0.1</f>
        <v>0</v>
      </c>
      <c r="BO34" s="90">
        <f>IF(AJ35&gt;AL35,1,0)+(AJ35-AL35)*0.1</f>
        <v>1.2</v>
      </c>
      <c r="BP34" s="90">
        <f>IF(AM35&gt;AO35,1,0)+(AM35-AO35)*0.1</f>
        <v>1.2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-0.2</v>
      </c>
      <c r="BT34" s="90">
        <f>IF(I35&gt;K35,1,0)+(I35-K35)*0.1</f>
        <v>-0.30000000000000004</v>
      </c>
      <c r="BU34" s="90">
        <f>IF(L35&gt;N35,1,0)+(L35-N35)*0.1</f>
        <v>-0.30000000000000004</v>
      </c>
      <c r="BV34" s="90">
        <f>IF(O35&gt;Q35,1,0)+(O35-Q35)*0.1</f>
        <v>-0.30000000000000004</v>
      </c>
      <c r="BW34" s="90">
        <f>IF(R35&gt;T35,1,0)+(R35-T35)*0.1</f>
        <v>1.3</v>
      </c>
      <c r="BX34" s="90">
        <f>IF(U35&gt;W35,1,0)+(U35-W35)*0.1</f>
        <v>-0.30000000000000004</v>
      </c>
      <c r="BY34" s="90">
        <f>IF(X35&gt;Z35,1,0)+(X35-Z35)*0.1</f>
        <v>-0.30000000000000004</v>
      </c>
      <c r="BZ34" s="90">
        <f>IF(AA35&gt;AC35,1,0)+(AA35-AC35)*0.1</f>
        <v>-0.30000000000000004</v>
      </c>
      <c r="CA34" s="90">
        <f>IF(AD35&gt;AF35,1,0)+(AD35-AF35)*0.1</f>
        <v>-0.1</v>
      </c>
      <c r="CB34" s="165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34"/>
      <c r="B35" s="85">
        <v>10</v>
      </c>
      <c r="C35" s="168"/>
      <c r="D35" s="168"/>
      <c r="E35" s="169"/>
      <c r="F35" s="42">
        <f>AI8</f>
        <v>1</v>
      </c>
      <c r="G35" s="122">
        <f>IF(F35&gt;H35,"в","")</f>
      </c>
      <c r="H35" s="43">
        <f>AG8</f>
        <v>3</v>
      </c>
      <c r="I35" s="42">
        <f>AI11</f>
        <v>0</v>
      </c>
      <c r="J35" s="122">
        <f>IF(I35&gt;K35,"в","")</f>
      </c>
      <c r="K35" s="43">
        <f>AG11</f>
        <v>3</v>
      </c>
      <c r="L35" s="42">
        <f>AI14</f>
        <v>0</v>
      </c>
      <c r="M35" s="122">
        <f>IF(L35&gt;N35,"в","")</f>
      </c>
      <c r="N35" s="43">
        <f>AG14</f>
        <v>3</v>
      </c>
      <c r="O35" s="42">
        <f>AI17</f>
        <v>0</v>
      </c>
      <c r="P35" s="122">
        <f>IF(O35&gt;Q35,"в","")</f>
      </c>
      <c r="Q35" s="43">
        <f>AG17</f>
        <v>3</v>
      </c>
      <c r="R35" s="42">
        <f>AI20</f>
        <v>3</v>
      </c>
      <c r="S35" s="120" t="str">
        <f>IF(R35&gt;T35,"в","")</f>
        <v>в</v>
      </c>
      <c r="T35" s="43">
        <f>AG20</f>
        <v>0</v>
      </c>
      <c r="U35" s="42">
        <f>AI23</f>
        <v>0</v>
      </c>
      <c r="V35" s="122">
        <f>IF(U35&gt;W35,"в","")</f>
      </c>
      <c r="W35" s="43">
        <f>AG23</f>
        <v>3</v>
      </c>
      <c r="X35" s="42">
        <f>AI26</f>
        <v>0</v>
      </c>
      <c r="Y35" s="122">
        <f>IF(X35&gt;Z35,"в","")</f>
      </c>
      <c r="Z35" s="43">
        <f>AG26</f>
        <v>3</v>
      </c>
      <c r="AA35" s="42">
        <f>AI29</f>
        <v>0</v>
      </c>
      <c r="AB35" s="122">
        <f>IF(AA35&gt;AC35,"в","")</f>
      </c>
      <c r="AC35" s="43">
        <f>AG29</f>
        <v>3</v>
      </c>
      <c r="AD35" s="42">
        <f>AI32</f>
        <v>2</v>
      </c>
      <c r="AE35" s="122">
        <f>IF(AD35&gt;AF35,"в","")</f>
      </c>
      <c r="AF35" s="43">
        <f>AG32</f>
        <v>3</v>
      </c>
      <c r="AG35" s="40"/>
      <c r="AH35" s="28">
        <v>10</v>
      </c>
      <c r="AI35" s="52"/>
      <c r="AJ35" s="42">
        <v>3</v>
      </c>
      <c r="AK35" s="120" t="str">
        <f>IF(AJ35&gt;AL35,"в","")</f>
        <v>в</v>
      </c>
      <c r="AL35" s="43">
        <v>1</v>
      </c>
      <c r="AM35" s="42">
        <v>3</v>
      </c>
      <c r="AN35" s="120" t="str">
        <f>IF(AM35&gt;AO35,"в","")</f>
        <v>в</v>
      </c>
      <c r="AO35" s="43">
        <v>1</v>
      </c>
      <c r="AP35" s="138"/>
      <c r="AQ35" s="139">
        <f>IF(AP35&gt;AR35,"в","")</f>
      </c>
      <c r="AR35" s="140"/>
      <c r="AS35" s="138"/>
      <c r="AT35" s="139">
        <f>IF(AS35&gt;AU35,"в","")</f>
      </c>
      <c r="AU35" s="140"/>
      <c r="AV35" s="202"/>
      <c r="AW35" s="179"/>
      <c r="AX35" s="184"/>
      <c r="AY35" s="183"/>
      <c r="AZ35" s="176"/>
      <c r="BA35" s="174"/>
      <c r="BB35" s="180"/>
      <c r="BC35" s="44">
        <f>BC34*3</f>
        <v>54.42</v>
      </c>
      <c r="BD35" s="173"/>
      <c r="BE35" s="260"/>
      <c r="BG35" s="236"/>
      <c r="BH35" s="236"/>
      <c r="BK35" s="164"/>
      <c r="BL35" s="165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65"/>
    </row>
    <row r="36" spans="1:80" ht="18" customHeight="1" thickBot="1" thickTop="1">
      <c r="A36" s="234"/>
      <c r="B36" s="86"/>
      <c r="C36" s="170"/>
      <c r="D36" s="170"/>
      <c r="E36" s="171"/>
      <c r="F36" s="47">
        <v>36</v>
      </c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>
        <v>26</v>
      </c>
      <c r="AE36" s="48">
        <v>21</v>
      </c>
      <c r="AF36" s="49"/>
      <c r="AG36" s="45"/>
      <c r="AH36" s="46"/>
      <c r="AI36" s="53"/>
      <c r="AJ36" s="47">
        <v>25</v>
      </c>
      <c r="AK36" s="48">
        <v>28</v>
      </c>
      <c r="AL36" s="49">
        <v>27</v>
      </c>
      <c r="AM36" s="47">
        <v>26</v>
      </c>
      <c r="AN36" s="48">
        <v>27</v>
      </c>
      <c r="AO36" s="49">
        <v>30</v>
      </c>
      <c r="AP36" s="141"/>
      <c r="AQ36" s="142"/>
      <c r="AR36" s="143"/>
      <c r="AS36" s="141"/>
      <c r="AT36" s="142"/>
      <c r="AU36" s="143"/>
      <c r="AV36" s="203"/>
      <c r="AW36" s="178">
        <f>AW34-AY34</f>
        <v>-14</v>
      </c>
      <c r="AX36" s="178"/>
      <c r="AY36" s="178"/>
      <c r="AZ36" s="177"/>
      <c r="BA36" s="174"/>
      <c r="BB36" s="180"/>
      <c r="BC36" s="50">
        <f>AVERAGE(F36:AU36)</f>
        <v>27.333333333333332</v>
      </c>
      <c r="BD36" s="173"/>
      <c r="BE36" s="261"/>
      <c r="BG36" s="236"/>
      <c r="BH36" s="236"/>
      <c r="BK36" s="164"/>
      <c r="BL36" s="165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65"/>
    </row>
    <row r="37" spans="1:80" ht="18" customHeight="1" thickBot="1" thickTop="1">
      <c r="A37" s="234">
        <f>VLOOKUP(C37,Исходник!$A$3:$G$44,7,FALSE)</f>
        <v>5</v>
      </c>
      <c r="B37" s="84"/>
      <c r="C37" s="166" t="str">
        <f>VLOOKUP(B38,Исходник!$K$3:Исходник!$AY$44,41,FALSE)</f>
        <v>Клочек Ксения
СФДМ, Москва</v>
      </c>
      <c r="D37" s="166"/>
      <c r="E37" s="167"/>
      <c r="F37" s="38"/>
      <c r="G37" s="188">
        <v>19.5</v>
      </c>
      <c r="H37" s="189"/>
      <c r="I37" s="38"/>
      <c r="J37" s="188">
        <v>16.47</v>
      </c>
      <c r="K37" s="189"/>
      <c r="L37" s="38"/>
      <c r="M37" s="188">
        <v>20.08</v>
      </c>
      <c r="N37" s="189"/>
      <c r="O37" s="38"/>
      <c r="P37" s="188">
        <v>18.66</v>
      </c>
      <c r="Q37" s="189"/>
      <c r="R37" s="38"/>
      <c r="S37" s="188">
        <v>19.69</v>
      </c>
      <c r="T37" s="189"/>
      <c r="U37" s="51"/>
      <c r="V37" s="188">
        <v>18.61</v>
      </c>
      <c r="W37" s="189"/>
      <c r="X37" s="51"/>
      <c r="Y37" s="188">
        <v>19.2</v>
      </c>
      <c r="Z37" s="189"/>
      <c r="AA37" s="38"/>
      <c r="AB37" s="188">
        <v>17.68</v>
      </c>
      <c r="AC37" s="189"/>
      <c r="AD37" s="51"/>
      <c r="AE37" s="188">
        <v>22.35</v>
      </c>
      <c r="AF37" s="189"/>
      <c r="AG37" s="38"/>
      <c r="AH37" s="188">
        <v>17.83</v>
      </c>
      <c r="AI37" s="189"/>
      <c r="AJ37" s="26"/>
      <c r="AK37" s="211"/>
      <c r="AL37" s="212"/>
      <c r="AM37" s="38"/>
      <c r="AN37" s="188">
        <v>16.01</v>
      </c>
      <c r="AO37" s="189"/>
      <c r="AP37" s="137"/>
      <c r="AQ37" s="270"/>
      <c r="AR37" s="271"/>
      <c r="AS37" s="137"/>
      <c r="AT37" s="270"/>
      <c r="AU37" s="271"/>
      <c r="AV37" s="201">
        <f>COUNTIF(F38:AU38,"в")</f>
        <v>2</v>
      </c>
      <c r="AW37" s="179">
        <f>F38+I38+L38+O38+R38+U38+X38+AA38+AD38+AG38+AJ38+AM38+AP38+AS38</f>
        <v>12</v>
      </c>
      <c r="AX37" s="184" t="s">
        <v>2</v>
      </c>
      <c r="AY37" s="183">
        <f>AU38+AR38+AO38+AL38+AI38+AF38+AC38+Z38+W38+T38+Q38+N38+K38+H38</f>
        <v>30</v>
      </c>
      <c r="AZ37" s="175">
        <f>IF(BL37=0,0,RANK(BL37,$BL$7:$BL$48,0))</f>
        <v>11</v>
      </c>
      <c r="BA37" s="174">
        <f>IF(BL37=0,0,VLOOKUP(AZ37,$BG$7:$BH$48,2,FALSE))</f>
        <v>7</v>
      </c>
      <c r="BB37" s="180">
        <f>A37+BA37</f>
        <v>12</v>
      </c>
      <c r="BC37" s="39">
        <f>AVERAGE(G37,J37,M37,P37,S37,V37,Y37,AB37,AE37,AH37,AK37,AN37,AQ37,AT37)</f>
        <v>18.734545454545454</v>
      </c>
      <c r="BD37" s="172">
        <f>F37+AS37+AP37+AM37+AJ37+AG37+AD37+AA37+X37+U37+R37+O37+L37+I37</f>
        <v>0</v>
      </c>
      <c r="BE37" s="262"/>
      <c r="BG37" s="236">
        <v>11</v>
      </c>
      <c r="BH37" s="236">
        <v>7</v>
      </c>
      <c r="BK37" s="164">
        <f>IF((AV37+AW39*0.001)=0,0,AV37+AW39*0.001+1)</f>
        <v>2.982</v>
      </c>
      <c r="BL37" s="165">
        <f>BK37+CB37*0.0001</f>
        <v>2.982</v>
      </c>
      <c r="BM37" s="88"/>
      <c r="BN37" s="89">
        <f>IF(AJ38&gt;AL38,1,0)+(AJ38-AL38)*0.1</f>
        <v>0</v>
      </c>
      <c r="BO37" s="90">
        <f>IF(AM38&gt;AO38,1,0)+(AM38-AO38)*0.1</f>
        <v>1.2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-0.30000000000000004</v>
      </c>
      <c r="BS37" s="90">
        <f>IF(I38&gt;K38,1,0)+(I38-K38)*0.1</f>
        <v>-0.1</v>
      </c>
      <c r="BT37" s="90">
        <f>IF(L38&gt;N38,1,0)+(L38-N38)*0.1</f>
        <v>1.1</v>
      </c>
      <c r="BU37" s="90">
        <f>IF(O38&gt;Q38,1,0)+(O38-Q38)*0.1</f>
        <v>-0.2</v>
      </c>
      <c r="BV37" s="90">
        <f>IF(R38&gt;T38,1,0)+(R38-T38)*0.1</f>
        <v>-0.30000000000000004</v>
      </c>
      <c r="BW37" s="90">
        <f>IF(U38&gt;W38,1,0)+(U38-W38)*0.1</f>
        <v>-0.30000000000000004</v>
      </c>
      <c r="BX37" s="90">
        <f>IF(X38&gt;Z38,1,0)+(X38-Z38)*0.1</f>
        <v>-0.2</v>
      </c>
      <c r="BY37" s="90">
        <f>IF(AA38&gt;AC38,1,0)+(AA38-AC38)*0.1</f>
        <v>-0.30000000000000004</v>
      </c>
      <c r="BZ37" s="90">
        <f>IF(AD38&gt;AF38,1,0)+(AD38-AF38)*0.1</f>
        <v>-0.2</v>
      </c>
      <c r="CA37" s="90">
        <f>IF(AG38&gt;AI38,1,0)+(AG38-AI38)*0.1</f>
        <v>-0.2</v>
      </c>
      <c r="CB37" s="165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34"/>
      <c r="B38" s="85">
        <v>11</v>
      </c>
      <c r="C38" s="168"/>
      <c r="D38" s="168"/>
      <c r="E38" s="169"/>
      <c r="F38" s="42">
        <f>AL8</f>
        <v>0</v>
      </c>
      <c r="G38" s="122">
        <f>IF(F38&gt;H38,"в","")</f>
      </c>
      <c r="H38" s="43">
        <f>AJ8</f>
        <v>3</v>
      </c>
      <c r="I38" s="42">
        <f>AL11</f>
        <v>2</v>
      </c>
      <c r="J38" s="122">
        <f>IF(I38&gt;K38,"в","")</f>
      </c>
      <c r="K38" s="43">
        <f>AJ11</f>
        <v>3</v>
      </c>
      <c r="L38" s="42">
        <f>AL14</f>
        <v>3</v>
      </c>
      <c r="M38" s="120" t="str">
        <f>IF(L38&gt;N38,"в","")</f>
        <v>в</v>
      </c>
      <c r="N38" s="43">
        <f>AJ14</f>
        <v>2</v>
      </c>
      <c r="O38" s="42">
        <f>AL17</f>
        <v>1</v>
      </c>
      <c r="P38" s="122">
        <f>IF(O38&gt;Q38,"в","")</f>
      </c>
      <c r="Q38" s="43">
        <f>AJ17</f>
        <v>3</v>
      </c>
      <c r="R38" s="42">
        <f>AL20</f>
        <v>0</v>
      </c>
      <c r="S38" s="122">
        <f>IF(R38&gt;T38,"в","")</f>
      </c>
      <c r="T38" s="43">
        <f>AJ20</f>
        <v>3</v>
      </c>
      <c r="U38" s="42">
        <f>AL23</f>
        <v>0</v>
      </c>
      <c r="V38" s="122">
        <f>IF(U38&gt;W38,"в","")</f>
      </c>
      <c r="W38" s="43">
        <f>AJ23</f>
        <v>3</v>
      </c>
      <c r="X38" s="42">
        <f>AL26</f>
        <v>1</v>
      </c>
      <c r="Y38" s="122">
        <f>IF(X38&gt;Z38,"в","")</f>
      </c>
      <c r="Z38" s="43">
        <f>AJ26</f>
        <v>3</v>
      </c>
      <c r="AA38" s="42">
        <f>AL29</f>
        <v>0</v>
      </c>
      <c r="AB38" s="122">
        <f>IF(AA38&gt;AC38,"в","")</f>
      </c>
      <c r="AC38" s="43">
        <f>AJ29</f>
        <v>3</v>
      </c>
      <c r="AD38" s="42">
        <f>AL32</f>
        <v>1</v>
      </c>
      <c r="AE38" s="122">
        <f>IF(AD38&gt;AF38,"в","")</f>
      </c>
      <c r="AF38" s="43">
        <f>AJ32</f>
        <v>3</v>
      </c>
      <c r="AG38" s="42">
        <f>AL35</f>
        <v>1</v>
      </c>
      <c r="AH38" s="122">
        <f>IF(AG38&gt;AI38,"в","")</f>
      </c>
      <c r="AI38" s="43">
        <f>AJ35</f>
        <v>3</v>
      </c>
      <c r="AJ38" s="40"/>
      <c r="AK38" s="28">
        <v>11</v>
      </c>
      <c r="AL38" s="52"/>
      <c r="AM38" s="42">
        <v>3</v>
      </c>
      <c r="AN38" s="120" t="str">
        <f>IF(AM38&gt;AO38,"в","")</f>
        <v>в</v>
      </c>
      <c r="AO38" s="43">
        <v>1</v>
      </c>
      <c r="AP38" s="138"/>
      <c r="AQ38" s="139">
        <f>IF(AP38&gt;AR38,"в","")</f>
      </c>
      <c r="AR38" s="140"/>
      <c r="AS38" s="138"/>
      <c r="AT38" s="139">
        <f>IF(AS38&gt;AU38,"в","")</f>
      </c>
      <c r="AU38" s="140"/>
      <c r="AV38" s="202"/>
      <c r="AW38" s="179"/>
      <c r="AX38" s="184"/>
      <c r="AY38" s="183"/>
      <c r="AZ38" s="176"/>
      <c r="BA38" s="174"/>
      <c r="BB38" s="180"/>
      <c r="BC38" s="44">
        <f>BC37*3</f>
        <v>56.20363636363636</v>
      </c>
      <c r="BD38" s="173"/>
      <c r="BE38" s="260"/>
      <c r="BG38" s="236"/>
      <c r="BH38" s="236"/>
      <c r="BK38" s="164"/>
      <c r="BL38" s="165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65"/>
    </row>
    <row r="39" spans="1:80" ht="18" customHeight="1" thickBot="1" thickTop="1">
      <c r="A39" s="234"/>
      <c r="B39" s="86"/>
      <c r="C39" s="170"/>
      <c r="D39" s="170"/>
      <c r="E39" s="171"/>
      <c r="F39" s="47"/>
      <c r="G39" s="48"/>
      <c r="H39" s="49"/>
      <c r="I39" s="47">
        <v>24</v>
      </c>
      <c r="J39" s="48">
        <v>26</v>
      </c>
      <c r="K39" s="49"/>
      <c r="L39" s="47">
        <v>24</v>
      </c>
      <c r="M39" s="48">
        <v>27</v>
      </c>
      <c r="N39" s="49">
        <v>27</v>
      </c>
      <c r="O39" s="47"/>
      <c r="P39" s="48"/>
      <c r="Q39" s="49"/>
      <c r="R39" s="47"/>
      <c r="S39" s="48"/>
      <c r="T39" s="49"/>
      <c r="U39" s="47"/>
      <c r="V39" s="48"/>
      <c r="W39" s="49"/>
      <c r="X39" s="47">
        <v>20</v>
      </c>
      <c r="Y39" s="48"/>
      <c r="Z39" s="49"/>
      <c r="AA39" s="47"/>
      <c r="AB39" s="48"/>
      <c r="AC39" s="49"/>
      <c r="AD39" s="47">
        <v>16</v>
      </c>
      <c r="AE39" s="48"/>
      <c r="AF39" s="49"/>
      <c r="AG39" s="47">
        <v>33</v>
      </c>
      <c r="AH39" s="48"/>
      <c r="AI39" s="49"/>
      <c r="AJ39" s="45"/>
      <c r="AK39" s="46"/>
      <c r="AL39" s="53"/>
      <c r="AM39" s="47">
        <v>31</v>
      </c>
      <c r="AN39" s="48">
        <v>28</v>
      </c>
      <c r="AO39" s="49">
        <v>36</v>
      </c>
      <c r="AP39" s="141"/>
      <c r="AQ39" s="142"/>
      <c r="AR39" s="143"/>
      <c r="AS39" s="141"/>
      <c r="AT39" s="142"/>
      <c r="AU39" s="143"/>
      <c r="AV39" s="203"/>
      <c r="AW39" s="178">
        <f>AW37-AY37</f>
        <v>-18</v>
      </c>
      <c r="AX39" s="178"/>
      <c r="AY39" s="178"/>
      <c r="AZ39" s="177"/>
      <c r="BA39" s="174"/>
      <c r="BB39" s="180"/>
      <c r="BC39" s="50">
        <f>AVERAGE(F39:AU39)</f>
        <v>26.545454545454547</v>
      </c>
      <c r="BD39" s="173"/>
      <c r="BE39" s="261"/>
      <c r="BG39" s="236"/>
      <c r="BH39" s="236"/>
      <c r="BK39" s="164"/>
      <c r="BL39" s="165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65"/>
    </row>
    <row r="40" spans="1:80" ht="18" customHeight="1" thickBot="1" thickTop="1">
      <c r="A40" s="234">
        <f>VLOOKUP(C40,Исходник!$A$3:$G$44,7,FALSE)</f>
        <v>0</v>
      </c>
      <c r="B40" s="84"/>
      <c r="C40" s="166" t="str">
        <f>VLOOKUP(B41,Исходник!$K$3:Исходник!$AY$44,41,FALSE)</f>
        <v>Ломов Аликус                      СФДМ, Москва</v>
      </c>
      <c r="D40" s="166"/>
      <c r="E40" s="167"/>
      <c r="F40" s="38"/>
      <c r="G40" s="188">
        <v>19.1</v>
      </c>
      <c r="H40" s="189"/>
      <c r="I40" s="38"/>
      <c r="J40" s="188">
        <v>20.74</v>
      </c>
      <c r="K40" s="189"/>
      <c r="L40" s="38"/>
      <c r="M40" s="188">
        <v>15.66</v>
      </c>
      <c r="N40" s="189"/>
      <c r="O40" s="38"/>
      <c r="P40" s="188">
        <v>18.02</v>
      </c>
      <c r="Q40" s="189"/>
      <c r="R40" s="51"/>
      <c r="S40" s="188">
        <v>18.94</v>
      </c>
      <c r="T40" s="189"/>
      <c r="U40" s="38"/>
      <c r="V40" s="188">
        <v>19.08</v>
      </c>
      <c r="W40" s="189"/>
      <c r="X40" s="38"/>
      <c r="Y40" s="188">
        <v>15.77</v>
      </c>
      <c r="Z40" s="189"/>
      <c r="AA40" s="38"/>
      <c r="AB40" s="188">
        <v>16.74</v>
      </c>
      <c r="AC40" s="189"/>
      <c r="AD40" s="38"/>
      <c r="AE40" s="188">
        <v>19.6</v>
      </c>
      <c r="AF40" s="189"/>
      <c r="AG40" s="38"/>
      <c r="AH40" s="188">
        <v>18.8</v>
      </c>
      <c r="AI40" s="189"/>
      <c r="AJ40" s="38"/>
      <c r="AK40" s="188">
        <v>15.57</v>
      </c>
      <c r="AL40" s="189"/>
      <c r="AM40" s="26"/>
      <c r="AN40" s="211"/>
      <c r="AO40" s="212"/>
      <c r="AP40" s="137"/>
      <c r="AQ40" s="270"/>
      <c r="AR40" s="271"/>
      <c r="AS40" s="137"/>
      <c r="AT40" s="270"/>
      <c r="AU40" s="271"/>
      <c r="AV40" s="201">
        <f>COUNTIF(F41:AU41,"в")</f>
        <v>1</v>
      </c>
      <c r="AW40" s="179">
        <f>F41+I41+L41+O41+R41+U41+X41+AA41+AD41+AG41+AJ41+AM41+AP41+AS41</f>
        <v>13</v>
      </c>
      <c r="AX40" s="184" t="s">
        <v>2</v>
      </c>
      <c r="AY40" s="183">
        <f>AU41+AR41+AO41+AL41+AI41+AF41+AC41+Z41+W41+T41+Q41+N41+K41+H41</f>
        <v>32</v>
      </c>
      <c r="AZ40" s="175">
        <f>IF(BL40=0,0,RANK(BL40,$BL$7:$BL$48,0))</f>
        <v>12</v>
      </c>
      <c r="BA40" s="174">
        <f>IF(BL40=0,0,VLOOKUP(AZ40,$BG$7:$BH$48,2,FALSE))</f>
        <v>6</v>
      </c>
      <c r="BB40" s="180">
        <f>A40+BA40</f>
        <v>6</v>
      </c>
      <c r="BC40" s="39">
        <f>AVERAGE(G40,J40,M40,P40,S40,V40,Y40,AB40,AE40,AH40,AK40,AN40,AQ40,AT40)</f>
        <v>18.00181818181818</v>
      </c>
      <c r="BD40" s="172">
        <f>F40+AS40+AP40+AM40+AJ40+AG40+AD40+AA40+X40+U40+R40+O40+L40+I40</f>
        <v>0</v>
      </c>
      <c r="BE40" s="259"/>
      <c r="BG40" s="236">
        <v>12</v>
      </c>
      <c r="BH40" s="236">
        <v>6</v>
      </c>
      <c r="BK40" s="164">
        <f>IF((AV40+AW42*0.001)=0,0,AV40+AW42*0.001+1)</f>
        <v>1.9809999999999999</v>
      </c>
      <c r="BL40" s="165">
        <f>BK40+CB40*0.0001</f>
        <v>1.9809999999999999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-0.30000000000000004</v>
      </c>
      <c r="BR40" s="90">
        <f>IF(I41&gt;K41,1,0)+(I41-K41)*0.1</f>
        <v>1.1</v>
      </c>
      <c r="BS40" s="90">
        <f>IF(L41&gt;N41,1,0)+(L41-N41)*0.1</f>
        <v>-0.30000000000000004</v>
      </c>
      <c r="BT40" s="90">
        <f>IF(O41&gt;Q41,1,0)+(O41-Q41)*0.1</f>
        <v>-0.1</v>
      </c>
      <c r="BU40" s="90">
        <f>IF(R41&gt;T41,1,0)+(R41-T41)*0.1</f>
        <v>-0.1</v>
      </c>
      <c r="BV40" s="90">
        <f>IF(U41&gt;W41,1,0)+(U41-W41)*0.1</f>
        <v>-0.2</v>
      </c>
      <c r="BW40" s="90">
        <f>IF(X41&gt;Z41,1,0)+(X41-Z41)*0.1</f>
        <v>-0.30000000000000004</v>
      </c>
      <c r="BX40" s="90">
        <f>IF(AA41&gt;AC41,1,0)+(AA41-AC41)*0.1</f>
        <v>-0.2</v>
      </c>
      <c r="BY40" s="90">
        <f>IF(AD41&gt;AF41,1,0)+(AD41-AF41)*0.1</f>
        <v>-0.1</v>
      </c>
      <c r="BZ40" s="90">
        <f>IF(AG41&gt;AI41,1,0)+(AG41-AI41)*0.1</f>
        <v>-0.2</v>
      </c>
      <c r="CA40" s="90">
        <f>IF(AJ41&gt;AL41,1,0)+(AJ41-AL41)*0.1</f>
        <v>-0.2</v>
      </c>
      <c r="CB40" s="165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34"/>
      <c r="B41" s="85">
        <v>12</v>
      </c>
      <c r="C41" s="168"/>
      <c r="D41" s="168"/>
      <c r="E41" s="169"/>
      <c r="F41" s="42">
        <f>AO8</f>
        <v>0</v>
      </c>
      <c r="G41" s="122">
        <f>IF(F41&gt;H41,"в","")</f>
      </c>
      <c r="H41" s="43">
        <f>AM8</f>
        <v>3</v>
      </c>
      <c r="I41" s="42">
        <f>AO11</f>
        <v>3</v>
      </c>
      <c r="J41" s="120" t="str">
        <f>IF(I41&gt;K41,"в","")</f>
        <v>в</v>
      </c>
      <c r="K41" s="43">
        <f>AM11</f>
        <v>2</v>
      </c>
      <c r="L41" s="42">
        <f>AO14</f>
        <v>0</v>
      </c>
      <c r="M41" s="122">
        <f>IF(L41&gt;N41,"в","")</f>
      </c>
      <c r="N41" s="43">
        <f>AM14</f>
        <v>3</v>
      </c>
      <c r="O41" s="42">
        <f>AO17</f>
        <v>2</v>
      </c>
      <c r="P41" s="122">
        <f>IF(O41&gt;Q41,"в","")</f>
      </c>
      <c r="Q41" s="43">
        <f>AM17</f>
        <v>3</v>
      </c>
      <c r="R41" s="42">
        <f>AO20</f>
        <v>2</v>
      </c>
      <c r="S41" s="122">
        <f>IF(R41&gt;T41,"в","")</f>
      </c>
      <c r="T41" s="43">
        <f>AM20</f>
        <v>3</v>
      </c>
      <c r="U41" s="42">
        <f>AO23</f>
        <v>1</v>
      </c>
      <c r="V41" s="122">
        <f>IF(U41&gt;W41,"в","")</f>
      </c>
      <c r="W41" s="43">
        <f>AM23</f>
        <v>3</v>
      </c>
      <c r="X41" s="42">
        <f>AO26</f>
        <v>0</v>
      </c>
      <c r="Y41" s="122">
        <f>IF(X41&gt;Z41,"в","")</f>
      </c>
      <c r="Z41" s="43">
        <f>AM26</f>
        <v>3</v>
      </c>
      <c r="AA41" s="42">
        <f>AO29</f>
        <v>1</v>
      </c>
      <c r="AB41" s="122">
        <f>IF(AA41&gt;AC41,"в","")</f>
      </c>
      <c r="AC41" s="43">
        <f>AM29</f>
        <v>3</v>
      </c>
      <c r="AD41" s="42">
        <f>AO32</f>
        <v>2</v>
      </c>
      <c r="AE41" s="122">
        <f>IF(AD41&gt;AF41,"в","")</f>
      </c>
      <c r="AF41" s="43">
        <f>AM32</f>
        <v>3</v>
      </c>
      <c r="AG41" s="42">
        <f>AO35</f>
        <v>1</v>
      </c>
      <c r="AH41" s="122">
        <f>IF(AG41&gt;AI41,"в","")</f>
      </c>
      <c r="AI41" s="43">
        <f>AM35</f>
        <v>3</v>
      </c>
      <c r="AJ41" s="42">
        <f>AO38</f>
        <v>1</v>
      </c>
      <c r="AK41" s="122">
        <f>IF(AJ41&gt;AL41,"в","")</f>
      </c>
      <c r="AL41" s="43">
        <f>AM38</f>
        <v>3</v>
      </c>
      <c r="AM41" s="40"/>
      <c r="AN41" s="28">
        <v>12</v>
      </c>
      <c r="AO41" s="52"/>
      <c r="AP41" s="138"/>
      <c r="AQ41" s="139">
        <f>IF(AP41&gt;AR41,"в","")</f>
      </c>
      <c r="AR41" s="140"/>
      <c r="AS41" s="138"/>
      <c r="AT41" s="139">
        <f>IF(AS41&gt;AU41,"в","")</f>
      </c>
      <c r="AU41" s="140"/>
      <c r="AV41" s="202"/>
      <c r="AW41" s="179"/>
      <c r="AX41" s="184"/>
      <c r="AY41" s="183"/>
      <c r="AZ41" s="176"/>
      <c r="BA41" s="174"/>
      <c r="BB41" s="180"/>
      <c r="BC41" s="44">
        <f>BC40*3</f>
        <v>54.00545454545454</v>
      </c>
      <c r="BD41" s="173"/>
      <c r="BE41" s="260"/>
      <c r="BG41" s="236"/>
      <c r="BH41" s="236"/>
      <c r="BK41" s="164"/>
      <c r="BL41" s="165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65"/>
    </row>
    <row r="42" spans="1:80" ht="18" customHeight="1" thickBot="1" thickTop="1">
      <c r="A42" s="234"/>
      <c r="B42" s="86"/>
      <c r="C42" s="170"/>
      <c r="D42" s="170"/>
      <c r="E42" s="171"/>
      <c r="F42" s="47"/>
      <c r="G42" s="48"/>
      <c r="H42" s="49"/>
      <c r="I42" s="47">
        <v>32</v>
      </c>
      <c r="J42" s="48">
        <v>20</v>
      </c>
      <c r="K42" s="49">
        <v>19</v>
      </c>
      <c r="L42" s="47"/>
      <c r="M42" s="48"/>
      <c r="N42" s="49"/>
      <c r="O42" s="47">
        <v>31</v>
      </c>
      <c r="P42" s="48">
        <v>27</v>
      </c>
      <c r="Q42" s="49"/>
      <c r="R42" s="47">
        <v>21</v>
      </c>
      <c r="S42" s="48">
        <v>30</v>
      </c>
      <c r="T42" s="49"/>
      <c r="U42" s="47">
        <v>23</v>
      </c>
      <c r="V42" s="48"/>
      <c r="W42" s="49"/>
      <c r="X42" s="47"/>
      <c r="Y42" s="48"/>
      <c r="Z42" s="49"/>
      <c r="AA42" s="47">
        <v>24</v>
      </c>
      <c r="AB42" s="48"/>
      <c r="AC42" s="49"/>
      <c r="AD42" s="47">
        <v>20</v>
      </c>
      <c r="AE42" s="48">
        <v>30</v>
      </c>
      <c r="AF42" s="49"/>
      <c r="AG42" s="47"/>
      <c r="AH42" s="48"/>
      <c r="AI42" s="49"/>
      <c r="AJ42" s="47">
        <v>33</v>
      </c>
      <c r="AK42" s="48"/>
      <c r="AL42" s="49"/>
      <c r="AM42" s="45"/>
      <c r="AN42" s="46"/>
      <c r="AO42" s="53"/>
      <c r="AP42" s="141"/>
      <c r="AQ42" s="142"/>
      <c r="AR42" s="143"/>
      <c r="AS42" s="141"/>
      <c r="AT42" s="142"/>
      <c r="AU42" s="143"/>
      <c r="AV42" s="203"/>
      <c r="AW42" s="178">
        <f>AW40-AY40</f>
        <v>-19</v>
      </c>
      <c r="AX42" s="178"/>
      <c r="AY42" s="178"/>
      <c r="AZ42" s="177"/>
      <c r="BA42" s="174"/>
      <c r="BB42" s="180"/>
      <c r="BC42" s="50">
        <f>AVERAGE(F42:AU42)</f>
        <v>25.833333333333332</v>
      </c>
      <c r="BD42" s="173"/>
      <c r="BE42" s="261"/>
      <c r="BG42" s="236"/>
      <c r="BH42" s="236"/>
      <c r="BK42" s="164"/>
      <c r="BL42" s="165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65"/>
    </row>
    <row r="43" spans="1:80" ht="18" customHeight="1" thickBot="1" thickTop="1">
      <c r="A43" s="272">
        <f>VLOOKUP(C43,Исходник!$A$3:$G$44,7,FALSE)</f>
        <v>8</v>
      </c>
      <c r="B43" s="156"/>
      <c r="C43" s="273" t="str">
        <f>VLOOKUP(B44,Исходник!$K$3:Исходник!$AY$44,41,FALSE)</f>
        <v>Акутов Александр
СФДМ, Москва</v>
      </c>
      <c r="D43" s="273"/>
      <c r="E43" s="274"/>
      <c r="F43" s="137"/>
      <c r="G43" s="270"/>
      <c r="H43" s="271"/>
      <c r="I43" s="137"/>
      <c r="J43" s="270"/>
      <c r="K43" s="271"/>
      <c r="L43" s="157"/>
      <c r="M43" s="270"/>
      <c r="N43" s="271"/>
      <c r="O43" s="137"/>
      <c r="P43" s="270"/>
      <c r="Q43" s="271"/>
      <c r="R43" s="137"/>
      <c r="S43" s="270"/>
      <c r="T43" s="271"/>
      <c r="U43" s="137"/>
      <c r="V43" s="270"/>
      <c r="W43" s="271"/>
      <c r="X43" s="137"/>
      <c r="Y43" s="270"/>
      <c r="Z43" s="271"/>
      <c r="AA43" s="137"/>
      <c r="AB43" s="270"/>
      <c r="AC43" s="271"/>
      <c r="AD43" s="137"/>
      <c r="AE43" s="270"/>
      <c r="AF43" s="271"/>
      <c r="AG43" s="137"/>
      <c r="AH43" s="270"/>
      <c r="AI43" s="271"/>
      <c r="AJ43" s="137"/>
      <c r="AK43" s="270"/>
      <c r="AL43" s="271"/>
      <c r="AM43" s="137"/>
      <c r="AN43" s="270"/>
      <c r="AO43" s="271"/>
      <c r="AP43" s="144"/>
      <c r="AQ43" s="281"/>
      <c r="AR43" s="282"/>
      <c r="AS43" s="137"/>
      <c r="AT43" s="270"/>
      <c r="AU43" s="271"/>
      <c r="AV43" s="201">
        <f>COUNTIF(F44:AU44,"в")</f>
        <v>0</v>
      </c>
      <c r="AW43" s="179">
        <f>F44+I44+L44+O44+R44+U44+X44+AA44+AD44+AG44+AJ44+AM44+AP44+AS44</f>
        <v>0</v>
      </c>
      <c r="AX43" s="184" t="s">
        <v>2</v>
      </c>
      <c r="AY43" s="183">
        <f>AU44+AR44+AO44+AL44+AI44+AF44+AC44+Z44+W44+T44+Q44+N44+K44+H44</f>
        <v>0</v>
      </c>
      <c r="AZ43" s="175">
        <f>IF(BL43=0,0,RANK(BL43,$BL$7:$BL$48,0))</f>
        <v>0</v>
      </c>
      <c r="BA43" s="174">
        <f>IF(BL43=0,0,VLOOKUP(AZ43,$BG$7:$BH$48,2,FALSE))</f>
        <v>0</v>
      </c>
      <c r="BB43" s="180">
        <f>A43+BA43</f>
        <v>8</v>
      </c>
      <c r="BC43" s="39" t="e">
        <f>AVERAGE(G43,J43,M43,P43,S43,V43,Y43,AB43,AE43,AH43,AK43,AN43,AQ43,AT43)</f>
        <v>#DIV/0!</v>
      </c>
      <c r="BD43" s="172">
        <f>F43+AS43+AP43+AM43+AJ43+AG43+AD43+AA43+X43+U43+R43+O43+L43+I43</f>
        <v>0</v>
      </c>
      <c r="BE43" s="259"/>
      <c r="BG43" s="236">
        <v>13</v>
      </c>
      <c r="BH43" s="236">
        <v>5</v>
      </c>
      <c r="BK43" s="164">
        <f>IF((AV43+AW45*0.001)=0,0,AV43+AW45*0.001+1)</f>
        <v>0</v>
      </c>
      <c r="BL43" s="165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65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72"/>
      <c r="B44" s="158">
        <v>13</v>
      </c>
      <c r="C44" s="275"/>
      <c r="D44" s="275"/>
      <c r="E44" s="276"/>
      <c r="F44" s="138">
        <f>AR8</f>
        <v>0</v>
      </c>
      <c r="G44" s="139">
        <f>IF(F44&gt;H44,"в","")</f>
      </c>
      <c r="H44" s="140">
        <f>AP8</f>
        <v>0</v>
      </c>
      <c r="I44" s="138">
        <f>AR11</f>
        <v>0</v>
      </c>
      <c r="J44" s="139">
        <f>IF(I44&gt;K44,"в","")</f>
      </c>
      <c r="K44" s="140">
        <f>AP11</f>
        <v>0</v>
      </c>
      <c r="L44" s="138">
        <f>AR14</f>
        <v>0</v>
      </c>
      <c r="M44" s="139">
        <f>IF(L44&gt;N44,"в","")</f>
      </c>
      <c r="N44" s="140">
        <f>AP14</f>
        <v>0</v>
      </c>
      <c r="O44" s="138">
        <f>AR17</f>
        <v>0</v>
      </c>
      <c r="P44" s="139">
        <f>IF(O44&gt;Q44,"в","")</f>
      </c>
      <c r="Q44" s="140">
        <f>AP17</f>
        <v>0</v>
      </c>
      <c r="R44" s="138">
        <f>AR20</f>
        <v>0</v>
      </c>
      <c r="S44" s="139">
        <f>IF(R44&gt;T44,"в","")</f>
      </c>
      <c r="T44" s="140">
        <f>AP20</f>
        <v>0</v>
      </c>
      <c r="U44" s="138">
        <f>AR23</f>
        <v>0</v>
      </c>
      <c r="V44" s="139">
        <f>IF(U44&gt;W44,"в","")</f>
      </c>
      <c r="W44" s="140">
        <f>AP23</f>
        <v>0</v>
      </c>
      <c r="X44" s="138">
        <f>AR26</f>
        <v>0</v>
      </c>
      <c r="Y44" s="139">
        <f>IF(X44&gt;Z44,"в","")</f>
      </c>
      <c r="Z44" s="140">
        <f>AP26</f>
        <v>0</v>
      </c>
      <c r="AA44" s="138">
        <f>AR29</f>
        <v>0</v>
      </c>
      <c r="AB44" s="139">
        <f>IF(AA44&gt;AC44,"в","")</f>
      </c>
      <c r="AC44" s="140">
        <f>AP29</f>
        <v>0</v>
      </c>
      <c r="AD44" s="138">
        <f>AR32</f>
        <v>0</v>
      </c>
      <c r="AE44" s="139">
        <f>IF(AD44&gt;AF44,"в","")</f>
      </c>
      <c r="AF44" s="140">
        <f>AP32</f>
        <v>0</v>
      </c>
      <c r="AG44" s="138">
        <f>AR35</f>
        <v>0</v>
      </c>
      <c r="AH44" s="139">
        <f>IF(AG44&gt;AI44,"в","")</f>
      </c>
      <c r="AI44" s="140">
        <f>AP35</f>
        <v>0</v>
      </c>
      <c r="AJ44" s="138">
        <f>AR38</f>
        <v>0</v>
      </c>
      <c r="AK44" s="139">
        <f>IF(AJ44&gt;AL44,"в","")</f>
      </c>
      <c r="AL44" s="140">
        <f>AP38</f>
        <v>0</v>
      </c>
      <c r="AM44" s="138">
        <f>AR41</f>
        <v>0</v>
      </c>
      <c r="AN44" s="139">
        <f>IF(AM44&gt;AO44,"в","")</f>
      </c>
      <c r="AO44" s="140">
        <f>AP41</f>
        <v>0</v>
      </c>
      <c r="AP44" s="145"/>
      <c r="AQ44" s="132">
        <v>13</v>
      </c>
      <c r="AR44" s="146"/>
      <c r="AS44" s="138"/>
      <c r="AT44" s="139">
        <f>IF(AS44&gt;AU44,"в","")</f>
      </c>
      <c r="AU44" s="140"/>
      <c r="AV44" s="202"/>
      <c r="AW44" s="179"/>
      <c r="AX44" s="184"/>
      <c r="AY44" s="183"/>
      <c r="AZ44" s="176"/>
      <c r="BA44" s="174"/>
      <c r="BB44" s="180"/>
      <c r="BC44" s="44" t="e">
        <f>BC43*3</f>
        <v>#DIV/0!</v>
      </c>
      <c r="BD44" s="173"/>
      <c r="BE44" s="260"/>
      <c r="BG44" s="236"/>
      <c r="BH44" s="236"/>
      <c r="BK44" s="164"/>
      <c r="BL44" s="165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65"/>
    </row>
    <row r="45" spans="1:80" ht="18" customHeight="1" thickBot="1" thickTop="1">
      <c r="A45" s="272"/>
      <c r="B45" s="159"/>
      <c r="C45" s="279"/>
      <c r="D45" s="279"/>
      <c r="E45" s="280"/>
      <c r="F45" s="141"/>
      <c r="G45" s="142"/>
      <c r="H45" s="143"/>
      <c r="I45" s="141"/>
      <c r="J45" s="142"/>
      <c r="K45" s="143"/>
      <c r="L45" s="141"/>
      <c r="M45" s="142"/>
      <c r="N45" s="143"/>
      <c r="O45" s="141"/>
      <c r="P45" s="142"/>
      <c r="Q45" s="143"/>
      <c r="R45" s="141"/>
      <c r="S45" s="142"/>
      <c r="T45" s="143"/>
      <c r="U45" s="141"/>
      <c r="V45" s="142"/>
      <c r="W45" s="143"/>
      <c r="X45" s="141"/>
      <c r="Y45" s="142"/>
      <c r="Z45" s="143"/>
      <c r="AA45" s="141"/>
      <c r="AB45" s="142"/>
      <c r="AC45" s="143"/>
      <c r="AD45" s="141"/>
      <c r="AE45" s="142"/>
      <c r="AF45" s="143"/>
      <c r="AG45" s="141"/>
      <c r="AH45" s="142"/>
      <c r="AI45" s="143"/>
      <c r="AJ45" s="141"/>
      <c r="AK45" s="142"/>
      <c r="AL45" s="143"/>
      <c r="AM45" s="141"/>
      <c r="AN45" s="142"/>
      <c r="AO45" s="143"/>
      <c r="AP45" s="147"/>
      <c r="AQ45" s="148"/>
      <c r="AR45" s="149"/>
      <c r="AS45" s="141"/>
      <c r="AT45" s="142"/>
      <c r="AU45" s="143"/>
      <c r="AV45" s="203"/>
      <c r="AW45" s="178">
        <f>AW43-AY43</f>
        <v>0</v>
      </c>
      <c r="AX45" s="178"/>
      <c r="AY45" s="178"/>
      <c r="AZ45" s="177"/>
      <c r="BA45" s="174"/>
      <c r="BB45" s="180"/>
      <c r="BC45" s="50" t="e">
        <f>AVERAGE(F45:AU45)</f>
        <v>#DIV/0!</v>
      </c>
      <c r="BD45" s="173"/>
      <c r="BE45" s="261"/>
      <c r="BG45" s="236"/>
      <c r="BH45" s="236"/>
      <c r="BK45" s="164"/>
      <c r="BL45" s="165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65"/>
    </row>
    <row r="46" spans="1:80" ht="18" customHeight="1" thickBot="1" thickTop="1">
      <c r="A46" s="272">
        <f>VLOOKUP(C46,Исходник!$A$3:$G$44,7,FALSE)</f>
        <v>7</v>
      </c>
      <c r="B46" s="156"/>
      <c r="C46" s="273" t="str">
        <f>VLOOKUP(B47,Исходник!$K$3:Исходник!$AY$44,41,FALSE)</f>
        <v>Сердюк Владимир
СФДМ, Москва</v>
      </c>
      <c r="D46" s="273"/>
      <c r="E46" s="274"/>
      <c r="F46" s="137"/>
      <c r="G46" s="270"/>
      <c r="H46" s="271"/>
      <c r="I46" s="137"/>
      <c r="J46" s="270"/>
      <c r="K46" s="271"/>
      <c r="L46" s="137"/>
      <c r="M46" s="270"/>
      <c r="N46" s="271"/>
      <c r="O46" s="137"/>
      <c r="P46" s="270"/>
      <c r="Q46" s="271"/>
      <c r="R46" s="137"/>
      <c r="S46" s="270"/>
      <c r="T46" s="271"/>
      <c r="U46" s="137"/>
      <c r="V46" s="270"/>
      <c r="W46" s="271"/>
      <c r="X46" s="137"/>
      <c r="Y46" s="270"/>
      <c r="Z46" s="271"/>
      <c r="AA46" s="137"/>
      <c r="AB46" s="270"/>
      <c r="AC46" s="271"/>
      <c r="AD46" s="137"/>
      <c r="AE46" s="270"/>
      <c r="AF46" s="271"/>
      <c r="AG46" s="137"/>
      <c r="AH46" s="270"/>
      <c r="AI46" s="271"/>
      <c r="AJ46" s="137"/>
      <c r="AK46" s="270"/>
      <c r="AL46" s="271"/>
      <c r="AM46" s="137"/>
      <c r="AN46" s="270"/>
      <c r="AO46" s="271"/>
      <c r="AP46" s="137"/>
      <c r="AQ46" s="270"/>
      <c r="AR46" s="271"/>
      <c r="AS46" s="144"/>
      <c r="AT46" s="281"/>
      <c r="AU46" s="282"/>
      <c r="AV46" s="201">
        <f>COUNTIF(F47:AU47,"в")</f>
        <v>0</v>
      </c>
      <c r="AW46" s="179">
        <f>F47+I47+L47+O47+R47+U47+X47+AA47+AD47+AG47+AJ47+AM47+AP47+AS47</f>
        <v>0</v>
      </c>
      <c r="AX46" s="184" t="s">
        <v>2</v>
      </c>
      <c r="AY46" s="183">
        <f>AU47+AR47+AO47+AL47+AI47+AF47+AC47+Z47+W47+T47+Q47+N47+K47+H47</f>
        <v>0</v>
      </c>
      <c r="AZ46" s="175">
        <f>IF(BL46=0,0,RANK(BL46,$BL$7:$BL$48,0))</f>
        <v>0</v>
      </c>
      <c r="BA46" s="174">
        <f>IF(BL46=0,0,VLOOKUP(AZ46,$BG$7:$BH$48,2,FALSE))</f>
        <v>0</v>
      </c>
      <c r="BB46" s="180">
        <f>A46+BA46</f>
        <v>7</v>
      </c>
      <c r="BC46" s="39" t="e">
        <f>AVERAGE(G46,J46,M46,P46,S46,V46,Y46,AB46,AE46,AH46,AK46,AN46,AQ46,AT46)</f>
        <v>#DIV/0!</v>
      </c>
      <c r="BD46" s="172">
        <f>F46+AS46+AP46+AM46+AJ46+AG46+AD46+AA46+X46+U46+R46+O46+L46+I46</f>
        <v>0</v>
      </c>
      <c r="BE46" s="259"/>
      <c r="BG46" s="236">
        <v>14</v>
      </c>
      <c r="BH46" s="236">
        <v>4</v>
      </c>
      <c r="BK46" s="164">
        <f>IF((AV46+AW48*0.001)=0,0,AV46+AW48*0.001+1)</f>
        <v>0</v>
      </c>
      <c r="BL46" s="165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65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72"/>
      <c r="B47" s="158">
        <v>14</v>
      </c>
      <c r="C47" s="275"/>
      <c r="D47" s="275"/>
      <c r="E47" s="276"/>
      <c r="F47" s="138">
        <f>AU8</f>
        <v>0</v>
      </c>
      <c r="G47" s="139">
        <f>IF(F47&gt;H47,"в","")</f>
      </c>
      <c r="H47" s="140">
        <f>AS8</f>
        <v>0</v>
      </c>
      <c r="I47" s="138">
        <f>AU11</f>
        <v>0</v>
      </c>
      <c r="J47" s="139">
        <f>IF(I47&gt;K47,"в","")</f>
      </c>
      <c r="K47" s="140">
        <f>AS11</f>
        <v>0</v>
      </c>
      <c r="L47" s="138">
        <f>AU14</f>
        <v>0</v>
      </c>
      <c r="M47" s="139">
        <f>IF(L47&gt;N47,"в","")</f>
      </c>
      <c r="N47" s="140">
        <f>AS14</f>
        <v>0</v>
      </c>
      <c r="O47" s="138">
        <f>AU17</f>
        <v>0</v>
      </c>
      <c r="P47" s="139">
        <f>IF(O47&gt;Q47,"в","")</f>
      </c>
      <c r="Q47" s="140">
        <f>AS17</f>
        <v>0</v>
      </c>
      <c r="R47" s="138">
        <f>AU20</f>
        <v>0</v>
      </c>
      <c r="S47" s="139">
        <f>IF(R47&gt;T47,"в","")</f>
      </c>
      <c r="T47" s="140">
        <f>AS20</f>
        <v>0</v>
      </c>
      <c r="U47" s="138">
        <f>AU23</f>
        <v>0</v>
      </c>
      <c r="V47" s="139">
        <f>IF(U47&gt;W47,"в","")</f>
      </c>
      <c r="W47" s="140">
        <f>AS23</f>
        <v>0</v>
      </c>
      <c r="X47" s="138">
        <f>AU26</f>
        <v>0</v>
      </c>
      <c r="Y47" s="139">
        <f>IF(X47&gt;Z47,"в","")</f>
      </c>
      <c r="Z47" s="140">
        <f>AS26</f>
        <v>0</v>
      </c>
      <c r="AA47" s="138">
        <f>AU29</f>
        <v>0</v>
      </c>
      <c r="AB47" s="139">
        <f>IF(AA47&gt;AC47,"в","")</f>
      </c>
      <c r="AC47" s="140">
        <f>AS29</f>
        <v>0</v>
      </c>
      <c r="AD47" s="138">
        <f>AU32</f>
        <v>0</v>
      </c>
      <c r="AE47" s="139">
        <f>IF(AD47&gt;AF47,"в","")</f>
      </c>
      <c r="AF47" s="140">
        <f>AS32</f>
        <v>0</v>
      </c>
      <c r="AG47" s="138">
        <f>AU35</f>
        <v>0</v>
      </c>
      <c r="AH47" s="139">
        <f>IF(AG47&gt;AI47,"в","")</f>
      </c>
      <c r="AI47" s="140">
        <f>AS35</f>
        <v>0</v>
      </c>
      <c r="AJ47" s="138">
        <f>AU38</f>
        <v>0</v>
      </c>
      <c r="AK47" s="139">
        <f>IF(AJ47&gt;AL47,"в","")</f>
      </c>
      <c r="AL47" s="140">
        <f>AS38</f>
        <v>0</v>
      </c>
      <c r="AM47" s="138">
        <f>AU41</f>
        <v>0</v>
      </c>
      <c r="AN47" s="139">
        <f>IF(AM47&gt;AO47,"в","")</f>
      </c>
      <c r="AO47" s="140">
        <f>AS41</f>
        <v>0</v>
      </c>
      <c r="AP47" s="138">
        <f>AU44</f>
        <v>0</v>
      </c>
      <c r="AQ47" s="139">
        <f>IF(AP47&gt;AR47,"в","")</f>
      </c>
      <c r="AR47" s="140">
        <f>AS44</f>
        <v>0</v>
      </c>
      <c r="AS47" s="145"/>
      <c r="AT47" s="132">
        <v>14</v>
      </c>
      <c r="AU47" s="146"/>
      <c r="AV47" s="202"/>
      <c r="AW47" s="179"/>
      <c r="AX47" s="184"/>
      <c r="AY47" s="183"/>
      <c r="AZ47" s="176"/>
      <c r="BA47" s="174"/>
      <c r="BB47" s="180"/>
      <c r="BC47" s="44" t="e">
        <f>BC46*3</f>
        <v>#DIV/0!</v>
      </c>
      <c r="BD47" s="173"/>
      <c r="BE47" s="260"/>
      <c r="BG47" s="236"/>
      <c r="BH47" s="236"/>
      <c r="BK47" s="164"/>
      <c r="BL47" s="165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65"/>
    </row>
    <row r="48" spans="1:80" ht="18" customHeight="1" thickBot="1" thickTop="1">
      <c r="A48" s="272"/>
      <c r="B48" s="160"/>
      <c r="C48" s="277"/>
      <c r="D48" s="277"/>
      <c r="E48" s="278"/>
      <c r="F48" s="150"/>
      <c r="G48" s="161"/>
      <c r="H48" s="152"/>
      <c r="I48" s="150"/>
      <c r="J48" s="161"/>
      <c r="K48" s="152"/>
      <c r="L48" s="150"/>
      <c r="M48" s="161"/>
      <c r="N48" s="152"/>
      <c r="O48" s="150"/>
      <c r="P48" s="161"/>
      <c r="Q48" s="152"/>
      <c r="R48" s="150"/>
      <c r="S48" s="161"/>
      <c r="T48" s="152"/>
      <c r="U48" s="150"/>
      <c r="V48" s="161"/>
      <c r="W48" s="152"/>
      <c r="X48" s="150"/>
      <c r="Y48" s="161"/>
      <c r="Z48" s="152"/>
      <c r="AA48" s="150"/>
      <c r="AB48" s="161"/>
      <c r="AC48" s="152"/>
      <c r="AD48" s="150"/>
      <c r="AE48" s="161"/>
      <c r="AF48" s="152"/>
      <c r="AG48" s="150"/>
      <c r="AH48" s="161"/>
      <c r="AI48" s="152"/>
      <c r="AJ48" s="150"/>
      <c r="AK48" s="161"/>
      <c r="AL48" s="152"/>
      <c r="AM48" s="150"/>
      <c r="AN48" s="161"/>
      <c r="AO48" s="152"/>
      <c r="AP48" s="150"/>
      <c r="AQ48" s="151"/>
      <c r="AR48" s="152"/>
      <c r="AS48" s="153"/>
      <c r="AT48" s="154"/>
      <c r="AU48" s="155"/>
      <c r="AV48" s="203"/>
      <c r="AW48" s="178">
        <f>AW46-AY46</f>
        <v>0</v>
      </c>
      <c r="AX48" s="178"/>
      <c r="AY48" s="178"/>
      <c r="AZ48" s="177"/>
      <c r="BA48" s="174"/>
      <c r="BB48" s="180"/>
      <c r="BC48" s="67" t="e">
        <f>AVERAGE(F48:AU48)</f>
        <v>#DIV/0!</v>
      </c>
      <c r="BD48" s="173"/>
      <c r="BE48" s="172"/>
      <c r="BG48" s="236"/>
      <c r="BH48" s="236"/>
      <c r="BK48" s="164"/>
      <c r="BL48" s="165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65"/>
    </row>
    <row r="49" spans="63:80" ht="13.5" thickTop="1">
      <c r="BK49" s="164">
        <f>BK7</f>
        <v>9.011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3:80" ht="12.75">
      <c r="BK50" s="164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3:80" ht="12.75">
      <c r="BK51" s="164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3:80" ht="12.75">
      <c r="BK52" s="164">
        <f>BK10</f>
        <v>10.017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3:80" ht="12.75">
      <c r="BK53" s="164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3:80" ht="12.75">
      <c r="BK54" s="164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3:80" ht="12.75">
      <c r="BK55" s="164">
        <f>BK13</f>
        <v>9.015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3:80" ht="12.75">
      <c r="BK56" s="164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3:80" ht="12.75">
      <c r="BK57" s="164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3:80" ht="12.75">
      <c r="BK58" s="164">
        <f>BK16</f>
        <v>6.998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3:80" ht="12.75">
      <c r="BK59" s="164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3:80" ht="12.75">
      <c r="BK60" s="164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3:80" ht="12.75">
      <c r="BK61" s="164">
        <f>BK19</f>
        <v>8.008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3:80" ht="12.75">
      <c r="BK62" s="164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3:80" ht="12.75">
      <c r="BK63" s="164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3:80" ht="12.75">
      <c r="BK64" s="164">
        <f>BK22</f>
        <v>6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3:80" ht="12.75">
      <c r="BK65" s="164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3:80" ht="12.75">
      <c r="BK66" s="164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3:80" ht="12.75">
      <c r="BK67" s="164">
        <f>BK25</f>
        <v>6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3:80" ht="12.75">
      <c r="BK68" s="164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3:80" ht="12.75">
      <c r="BK69" s="164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3:80" ht="12.75">
      <c r="BK70" s="164">
        <f>BK28</f>
        <v>4.997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3:80" ht="12.75">
      <c r="BK71" s="164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3:80" ht="12.75">
      <c r="BK72" s="164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3:80" ht="12.75">
      <c r="BK73" s="164">
        <f>BK31</f>
        <v>9.005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3:80" ht="12.75">
      <c r="BK74" s="164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3:80" ht="12.75">
      <c r="BK75" s="164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3:80" ht="12.75">
      <c r="BK76" s="164">
        <f>BK34</f>
        <v>3.986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3:80" ht="12.75">
      <c r="BK77" s="164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3:80" ht="12.75">
      <c r="BK78" s="164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3:80" ht="12.75">
      <c r="BK79" s="164">
        <f>BK37</f>
        <v>2.982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3:80" ht="12.75">
      <c r="BK80" s="164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3:80" ht="12.75">
      <c r="BK81" s="164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3:80" ht="12.75">
      <c r="BK82" s="164">
        <f>BK40</f>
        <v>1.9809999999999999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3:80" ht="12.75">
      <c r="BK83" s="164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3:80" ht="12.75">
      <c r="BK84" s="164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3:80" ht="12.75">
      <c r="BK85" s="164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3:80" ht="12.75">
      <c r="BK86" s="164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3:80" ht="12.75">
      <c r="BK87" s="164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3:80" ht="12.75">
      <c r="BK88" s="164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3:80" ht="12.75">
      <c r="BK89" s="164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3:80" ht="12.75">
      <c r="BK90" s="164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BE4:BE6"/>
    <mergeCell ref="BH4:BH6"/>
    <mergeCell ref="BE7:BE9"/>
    <mergeCell ref="BH7:BH9"/>
    <mergeCell ref="BE10:BE12"/>
    <mergeCell ref="BH10:BH12"/>
    <mergeCell ref="BG10:BG12"/>
    <mergeCell ref="BG7:BG9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P40:Q40"/>
    <mergeCell ref="S40:T40"/>
    <mergeCell ref="V40:W40"/>
    <mergeCell ref="Y40:Z40"/>
    <mergeCell ref="Y37:Z37"/>
    <mergeCell ref="AB37:AC37"/>
    <mergeCell ref="S37:T37"/>
    <mergeCell ref="V37:W37"/>
    <mergeCell ref="AW37:AW38"/>
    <mergeCell ref="AX37:AX38"/>
    <mergeCell ref="AK40:AL40"/>
    <mergeCell ref="AN40:AO40"/>
    <mergeCell ref="AE37:AF37"/>
    <mergeCell ref="AH37:AI37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A37:A39"/>
    <mergeCell ref="C37:E39"/>
    <mergeCell ref="G37:H37"/>
    <mergeCell ref="J37:K37"/>
    <mergeCell ref="M37:N37"/>
    <mergeCell ref="P37:Q37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Z31:AZ33"/>
    <mergeCell ref="BA31:BA33"/>
    <mergeCell ref="BB31:BB33"/>
    <mergeCell ref="BD31:BD33"/>
    <mergeCell ref="BB28:BB30"/>
    <mergeCell ref="BD28:BD30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S28:T28"/>
    <mergeCell ref="AK25:AL25"/>
    <mergeCell ref="P25:Q25"/>
    <mergeCell ref="S25:T25"/>
    <mergeCell ref="V25:W25"/>
    <mergeCell ref="Y25:Z25"/>
    <mergeCell ref="AB25:AC25"/>
    <mergeCell ref="A28:A30"/>
    <mergeCell ref="C28:E30"/>
    <mergeCell ref="G28:H28"/>
    <mergeCell ref="J28:K28"/>
    <mergeCell ref="M28:N28"/>
    <mergeCell ref="P28:Q28"/>
    <mergeCell ref="BA25:BA27"/>
    <mergeCell ref="BB25:BB27"/>
    <mergeCell ref="BD25:BD27"/>
    <mergeCell ref="AZ22:AZ24"/>
    <mergeCell ref="BA22:BA24"/>
    <mergeCell ref="BB22:BB24"/>
    <mergeCell ref="BD22:BD24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E22:AF22"/>
    <mergeCell ref="AH22:AI22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A16:A18"/>
    <mergeCell ref="C16:E18"/>
    <mergeCell ref="G16:H16"/>
    <mergeCell ref="J16:K16"/>
    <mergeCell ref="AE16:AF16"/>
    <mergeCell ref="AH16:AI16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9:A21"/>
    <mergeCell ref="C19:E21"/>
    <mergeCell ref="G19:H19"/>
    <mergeCell ref="J19:K19"/>
    <mergeCell ref="M19:N19"/>
    <mergeCell ref="P19:Q19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Y13:Z13"/>
    <mergeCell ref="AB13:AC13"/>
    <mergeCell ref="AK13:AL13"/>
    <mergeCell ref="AN13:AO13"/>
    <mergeCell ref="AE13:AF13"/>
    <mergeCell ref="AQ10:AR10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AY7:AY8"/>
    <mergeCell ref="AZ7:AZ9"/>
    <mergeCell ref="AK7:AL7"/>
    <mergeCell ref="AN7:AO7"/>
    <mergeCell ref="AQ7:AR7"/>
    <mergeCell ref="AT7:AU7"/>
    <mergeCell ref="AW9:AY9"/>
    <mergeCell ref="AX7:AX8"/>
    <mergeCell ref="M10:N10"/>
    <mergeCell ref="P10:Q10"/>
    <mergeCell ref="S10:T10"/>
    <mergeCell ref="AB7:AC7"/>
    <mergeCell ref="AE10:AF10"/>
    <mergeCell ref="AH10:AI10"/>
    <mergeCell ref="S7:T7"/>
    <mergeCell ref="V7:W7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BC28 BC31 BC34 BC37 BC40 BC43 BC46 BC7 BC10 BC13 BC16 BC19 BC22 BC25">
    <cfRule type="cellIs" priority="1019" dxfId="3" operator="between" stopIfTrue="1">
      <formula>21</formula>
      <formula>22.99999999</formula>
    </cfRule>
    <cfRule type="cellIs" priority="1020" dxfId="2" operator="between" stopIfTrue="1">
      <formula>23</formula>
      <formula>26.999</formula>
    </cfRule>
    <cfRule type="cellIs" priority="1021" dxfId="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" operator="greaterThanOrEqual" stopIfTrue="1">
      <formula>1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3" operator="between" stopIfTrue="1">
      <formula>21</formula>
      <formula>22.99999999</formula>
    </cfRule>
    <cfRule type="cellIs" priority="22" dxfId="2" operator="between" stopIfTrue="1">
      <formula>23</formula>
      <formula>26.999</formula>
    </cfRule>
    <cfRule type="cellIs" priority="23" dxfId="1" operator="greaterThanOrEqual" stopIfTrue="1">
      <formula>27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tabSelected="1" zoomScale="50" zoomScaleNormal="50" zoomScalePageLayoutView="0" workbookViewId="0" topLeftCell="A1">
      <selection activeCell="X13" sqref="X13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237" t="s">
        <v>94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  <c r="L1" s="243" t="s">
        <v>95</v>
      </c>
      <c r="M1" s="244"/>
      <c r="N1" s="244"/>
      <c r="O1" s="244"/>
      <c r="P1" s="244"/>
      <c r="Q1" s="244"/>
      <c r="R1" s="244"/>
      <c r="S1" s="244"/>
      <c r="T1" s="245"/>
      <c r="U1" s="283">
        <v>43526</v>
      </c>
      <c r="V1" s="284"/>
      <c r="W1" s="284"/>
      <c r="X1" s="284"/>
      <c r="Y1" s="284"/>
      <c r="Z1" s="285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2"/>
      <c r="L2" s="246"/>
      <c r="M2" s="247"/>
      <c r="N2" s="247"/>
      <c r="O2" s="247"/>
      <c r="P2" s="247"/>
      <c r="Q2" s="247"/>
      <c r="R2" s="247"/>
      <c r="S2" s="247"/>
      <c r="T2" s="248"/>
      <c r="U2" s="286"/>
      <c r="V2" s="287"/>
      <c r="W2" s="287"/>
      <c r="X2" s="287"/>
      <c r="Y2" s="287"/>
      <c r="Z2" s="288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246"/>
      <c r="M3" s="247"/>
      <c r="N3" s="247"/>
      <c r="O3" s="247"/>
      <c r="P3" s="247"/>
      <c r="Q3" s="247"/>
      <c r="R3" s="247"/>
      <c r="S3" s="247"/>
      <c r="T3" s="248"/>
      <c r="U3" s="286"/>
      <c r="V3" s="287"/>
      <c r="W3" s="287"/>
      <c r="X3" s="287"/>
      <c r="Y3" s="287"/>
      <c r="Z3" s="288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89" t="s">
        <v>16</v>
      </c>
      <c r="B4" s="219" t="s">
        <v>19</v>
      </c>
      <c r="C4" s="220"/>
      <c r="D4" s="220"/>
      <c r="E4" s="221"/>
      <c r="F4" s="57"/>
      <c r="G4" s="204"/>
      <c r="H4" s="205"/>
      <c r="I4" s="57"/>
      <c r="J4" s="204"/>
      <c r="K4" s="205"/>
      <c r="L4" s="57"/>
      <c r="M4" s="204"/>
      <c r="N4" s="205"/>
      <c r="O4" s="57"/>
      <c r="P4" s="204"/>
      <c r="Q4" s="205"/>
      <c r="R4" s="57"/>
      <c r="S4" s="204"/>
      <c r="T4" s="205"/>
      <c r="U4" s="57"/>
      <c r="V4" s="204"/>
      <c r="W4" s="205"/>
      <c r="X4" s="57"/>
      <c r="Y4" s="204"/>
      <c r="Z4" s="205"/>
      <c r="AA4" s="57"/>
      <c r="AB4" s="58"/>
      <c r="AC4" s="59"/>
      <c r="AD4" s="57"/>
      <c r="AE4" s="204"/>
      <c r="AF4" s="205"/>
      <c r="AG4" s="57"/>
      <c r="AH4" s="204"/>
      <c r="AI4" s="205"/>
      <c r="AJ4" s="57"/>
      <c r="AK4" s="204"/>
      <c r="AL4" s="205"/>
      <c r="AM4" s="57"/>
      <c r="AN4" s="204"/>
      <c r="AO4" s="205"/>
      <c r="AP4" s="57"/>
      <c r="AQ4" s="204"/>
      <c r="AR4" s="205"/>
      <c r="AS4" s="57"/>
      <c r="AT4" s="204"/>
      <c r="AU4" s="205"/>
      <c r="AV4" s="208" t="s">
        <v>0</v>
      </c>
      <c r="AW4" s="192" t="s">
        <v>9</v>
      </c>
      <c r="AX4" s="193"/>
      <c r="AY4" s="194"/>
      <c r="AZ4" s="192" t="s">
        <v>1</v>
      </c>
      <c r="BA4" s="185" t="s">
        <v>14</v>
      </c>
      <c r="BB4" s="185" t="s">
        <v>15</v>
      </c>
      <c r="BC4" s="60" t="s">
        <v>10</v>
      </c>
      <c r="BD4" s="181">
        <v>180</v>
      </c>
      <c r="BE4" s="263" t="s">
        <v>21</v>
      </c>
      <c r="BF4" s="22"/>
      <c r="BG4" s="258" t="s">
        <v>18</v>
      </c>
      <c r="BH4" s="258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90"/>
      <c r="B5" s="222"/>
      <c r="C5" s="223"/>
      <c r="D5" s="223"/>
      <c r="E5" s="224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209"/>
      <c r="AW5" s="195"/>
      <c r="AX5" s="196"/>
      <c r="AY5" s="197"/>
      <c r="AZ5" s="195"/>
      <c r="BA5" s="186"/>
      <c r="BB5" s="186"/>
      <c r="BC5" s="30" t="s">
        <v>11</v>
      </c>
      <c r="BD5" s="182"/>
      <c r="BE5" s="264"/>
      <c r="BF5" s="22"/>
      <c r="BG5" s="258"/>
      <c r="BH5" s="258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91"/>
      <c r="B6" s="225"/>
      <c r="C6" s="226"/>
      <c r="D6" s="226"/>
      <c r="E6" s="227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210"/>
      <c r="AW6" s="198"/>
      <c r="AX6" s="199"/>
      <c r="AY6" s="200"/>
      <c r="AZ6" s="198"/>
      <c r="BA6" s="187"/>
      <c r="BB6" s="187"/>
      <c r="BC6" s="37" t="s">
        <v>12</v>
      </c>
      <c r="BD6" s="182"/>
      <c r="BE6" s="264"/>
      <c r="BF6" s="22"/>
      <c r="BG6" s="258"/>
      <c r="BH6" s="258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255">
        <f>VLOOKUP(C7,Исходник!$A$3:$L$44,12,FALSE)</f>
        <v>53</v>
      </c>
      <c r="B7" s="84"/>
      <c r="C7" s="166" t="str">
        <f>VLOOKUP(B8,Исходник!$Q$3:$AY$44,35,FALSE)</f>
        <v>Сущенко Сергей
СФДМ, Москва</v>
      </c>
      <c r="D7" s="166"/>
      <c r="E7" s="167"/>
      <c r="F7" s="26"/>
      <c r="G7" s="211"/>
      <c r="H7" s="211"/>
      <c r="I7" s="38">
        <v>1</v>
      </c>
      <c r="J7" s="188">
        <v>22.19</v>
      </c>
      <c r="K7" s="189"/>
      <c r="L7" s="38"/>
      <c r="M7" s="188">
        <v>20.78</v>
      </c>
      <c r="N7" s="189"/>
      <c r="O7" s="38"/>
      <c r="P7" s="188">
        <v>20.66</v>
      </c>
      <c r="Q7" s="189"/>
      <c r="R7" s="38"/>
      <c r="S7" s="188">
        <v>28.66</v>
      </c>
      <c r="T7" s="189"/>
      <c r="U7" s="38"/>
      <c r="V7" s="188">
        <v>20.59</v>
      </c>
      <c r="W7" s="189"/>
      <c r="X7" s="38"/>
      <c r="Y7" s="188">
        <v>25.47</v>
      </c>
      <c r="Z7" s="189"/>
      <c r="AA7" s="38">
        <v>1</v>
      </c>
      <c r="AB7" s="188">
        <v>25.47</v>
      </c>
      <c r="AC7" s="189"/>
      <c r="AD7" s="38"/>
      <c r="AE7" s="188">
        <v>19</v>
      </c>
      <c r="AF7" s="189"/>
      <c r="AG7" s="38"/>
      <c r="AH7" s="188">
        <v>20</v>
      </c>
      <c r="AI7" s="189"/>
      <c r="AJ7" s="38"/>
      <c r="AK7" s="188"/>
      <c r="AL7" s="189"/>
      <c r="AM7" s="38"/>
      <c r="AN7" s="188"/>
      <c r="AO7" s="189"/>
      <c r="AP7" s="38"/>
      <c r="AQ7" s="188"/>
      <c r="AR7" s="189"/>
      <c r="AS7" s="38"/>
      <c r="AT7" s="188"/>
      <c r="AU7" s="189"/>
      <c r="AV7" s="201">
        <f>COUNTIF(F8:AU8,"в")</f>
        <v>6</v>
      </c>
      <c r="AW7" s="179">
        <f>F8+I8+L8+O8+R8+U8+X8+AA8+AD8+AG8+AJ8+AM8+AP8+AS8</f>
        <v>22</v>
      </c>
      <c r="AX7" s="184" t="s">
        <v>2</v>
      </c>
      <c r="AY7" s="183">
        <f>AU8+AR8+AO8+AL8+AI8+AF8+AC8+Z8+W8+T8+Q8+N8+K8+H8</f>
        <v>12</v>
      </c>
      <c r="AZ7" s="175">
        <f>IF(BL7=0,0,RANK(BL7,$BL$7:$BL$48,0))</f>
        <v>3</v>
      </c>
      <c r="BA7" s="174">
        <f>IF(BL7=0,0,VLOOKUP(AZ7,$BG$7:$BH$48,2,FALSE))</f>
        <v>23</v>
      </c>
      <c r="BB7" s="180">
        <f>A7+BA7</f>
        <v>76</v>
      </c>
      <c r="BC7" s="39">
        <f>AVERAGE(G7,J7,M7,P7,S7,V7,Y7,AB7,AE7,AH7,AK7,AN7,AQ7,AT7)</f>
        <v>22.535555555555554</v>
      </c>
      <c r="BD7" s="173">
        <f>F7+AS7+AP7+AM7+AJ7+AG7+AD7+AA7+X7+U7+R7+O7+L7+I7</f>
        <v>2</v>
      </c>
      <c r="BE7" s="265">
        <v>129</v>
      </c>
      <c r="BF7" s="22"/>
      <c r="BG7" s="236">
        <v>1</v>
      </c>
      <c r="BH7" s="236">
        <v>30</v>
      </c>
      <c r="BI7" s="22"/>
      <c r="BJ7" s="22"/>
      <c r="BK7" s="164">
        <f>IF((AV7+AW9*0.001)=0,0,AV7+AW9*0.001+1)</f>
        <v>7.01</v>
      </c>
      <c r="BL7" s="165">
        <f>BK7+CB7*0.0001</f>
        <v>7.01</v>
      </c>
      <c r="BM7" s="88"/>
      <c r="BN7" s="89">
        <f>IF(F8&gt;H8,1,0)+(F8-H8)*0.1</f>
        <v>0</v>
      </c>
      <c r="BO7" s="90">
        <f>IF(I8&gt;K8,1,0)+(I8-K8)*0.1</f>
        <v>1.1</v>
      </c>
      <c r="BP7" s="90">
        <f>IF(L8&gt;N8,1,0)+(L8-N8)*0.1</f>
        <v>-0.1</v>
      </c>
      <c r="BQ7" s="90">
        <f>IF(O8&gt;Q8,1,0)+(O8-Q8)*0.1</f>
        <v>-0.30000000000000004</v>
      </c>
      <c r="BR7" s="90">
        <f>IF(R8&gt;T8,1,0)+(R8-T8)*0.1</f>
        <v>1.2</v>
      </c>
      <c r="BS7" s="90">
        <f>IF(U8&gt;W8,1,0)+(U8-W8)*0.1</f>
        <v>1.3</v>
      </c>
      <c r="BT7" s="88">
        <f>IF(X8&gt;Z8,1,0)+(X8-Z8)*0.1</f>
        <v>1.3</v>
      </c>
      <c r="BU7" s="88">
        <f>IF(AA8&gt;AC8,1,0)+(AA8-AC8)*0.1</f>
        <v>1.3</v>
      </c>
      <c r="BV7" s="88">
        <f>IF(AD8&gt;AF8,1,0)+(AD8-AF8)*0.1</f>
        <v>1.3</v>
      </c>
      <c r="BW7" s="88">
        <f>IF(AG8&gt;AI8,1,0)+(AG8-AI8)*0.1</f>
        <v>-0.1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65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56"/>
      <c r="B8" s="85">
        <v>1</v>
      </c>
      <c r="C8" s="168"/>
      <c r="D8" s="168"/>
      <c r="E8" s="169"/>
      <c r="F8" s="40"/>
      <c r="G8" s="28">
        <v>1</v>
      </c>
      <c r="H8" s="41"/>
      <c r="I8" s="42">
        <v>3</v>
      </c>
      <c r="J8" s="120" t="str">
        <f>IF(I8&gt;K8,"в","")</f>
        <v>в</v>
      </c>
      <c r="K8" s="43">
        <v>2</v>
      </c>
      <c r="L8" s="42">
        <v>2</v>
      </c>
      <c r="M8" s="122">
        <f>IF(L8&gt;N8,"в","")</f>
      </c>
      <c r="N8" s="43">
        <v>3</v>
      </c>
      <c r="O8" s="42">
        <v>0</v>
      </c>
      <c r="P8" s="122">
        <f>IF(O8&gt;Q8,"в","")</f>
      </c>
      <c r="Q8" s="43">
        <v>3</v>
      </c>
      <c r="R8" s="42">
        <v>3</v>
      </c>
      <c r="S8" s="120" t="str">
        <f>IF(R8&gt;T8,"в","")</f>
        <v>в</v>
      </c>
      <c r="T8" s="43">
        <v>1</v>
      </c>
      <c r="U8" s="42">
        <v>3</v>
      </c>
      <c r="V8" s="120" t="str">
        <f>IF(U8&gt;W8,"в","")</f>
        <v>в</v>
      </c>
      <c r="W8" s="43">
        <v>0</v>
      </c>
      <c r="X8" s="42">
        <v>3</v>
      </c>
      <c r="Y8" s="120" t="str">
        <f>IF(X8&gt;Z8,"в","")</f>
        <v>в</v>
      </c>
      <c r="Z8" s="43">
        <v>0</v>
      </c>
      <c r="AA8" s="42">
        <v>3</v>
      </c>
      <c r="AB8" s="120" t="str">
        <f>IF(AA8&gt;AC8,"в","")</f>
        <v>в</v>
      </c>
      <c r="AC8" s="43">
        <v>0</v>
      </c>
      <c r="AD8" s="42">
        <v>3</v>
      </c>
      <c r="AE8" s="120" t="str">
        <f>IF(AD8&gt;AF8,"в","")</f>
        <v>в</v>
      </c>
      <c r="AF8" s="43">
        <v>0</v>
      </c>
      <c r="AG8" s="42">
        <v>2</v>
      </c>
      <c r="AH8" s="122">
        <f>IF(AG8&gt;AI8,"в","")</f>
      </c>
      <c r="AI8" s="43">
        <v>3</v>
      </c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202"/>
      <c r="AW8" s="179"/>
      <c r="AX8" s="184"/>
      <c r="AY8" s="183"/>
      <c r="AZ8" s="176"/>
      <c r="BA8" s="174"/>
      <c r="BB8" s="180"/>
      <c r="BC8" s="44">
        <f>BC7*3</f>
        <v>67.60666666666665</v>
      </c>
      <c r="BD8" s="173"/>
      <c r="BE8" s="266"/>
      <c r="BF8" s="22"/>
      <c r="BG8" s="236"/>
      <c r="BH8" s="236"/>
      <c r="BI8" s="22"/>
      <c r="BJ8" s="22"/>
      <c r="BK8" s="164"/>
      <c r="BL8" s="165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65"/>
    </row>
    <row r="9" spans="1:80" ht="18" customHeight="1" thickBot="1" thickTop="1">
      <c r="A9" s="257"/>
      <c r="B9" s="86"/>
      <c r="C9" s="170"/>
      <c r="D9" s="170"/>
      <c r="E9" s="171"/>
      <c r="F9" s="45"/>
      <c r="G9" s="46"/>
      <c r="H9" s="46"/>
      <c r="I9" s="47">
        <v>21</v>
      </c>
      <c r="J9" s="48">
        <v>22</v>
      </c>
      <c r="K9" s="49">
        <v>22</v>
      </c>
      <c r="L9" s="47">
        <v>26</v>
      </c>
      <c r="M9" s="48">
        <v>23</v>
      </c>
      <c r="N9" s="49"/>
      <c r="O9" s="47"/>
      <c r="P9" s="48"/>
      <c r="Q9" s="49"/>
      <c r="R9" s="47">
        <v>18</v>
      </c>
      <c r="S9" s="48">
        <v>21</v>
      </c>
      <c r="T9" s="49">
        <v>21</v>
      </c>
      <c r="U9" s="47">
        <v>24</v>
      </c>
      <c r="V9" s="48">
        <v>25</v>
      </c>
      <c r="W9" s="49">
        <v>24</v>
      </c>
      <c r="X9" s="47">
        <v>17</v>
      </c>
      <c r="Y9" s="48">
        <v>22</v>
      </c>
      <c r="Z9" s="49">
        <v>20</v>
      </c>
      <c r="AA9" s="47">
        <v>20</v>
      </c>
      <c r="AB9" s="48">
        <v>16</v>
      </c>
      <c r="AC9" s="49">
        <v>20</v>
      </c>
      <c r="AD9" s="47">
        <v>21</v>
      </c>
      <c r="AE9" s="48">
        <v>33</v>
      </c>
      <c r="AF9" s="49">
        <v>25</v>
      </c>
      <c r="AG9" s="47">
        <v>25</v>
      </c>
      <c r="AH9" s="48">
        <v>17</v>
      </c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203"/>
      <c r="AW9" s="178">
        <f>AW7-AY7</f>
        <v>10</v>
      </c>
      <c r="AX9" s="178"/>
      <c r="AY9" s="178"/>
      <c r="AZ9" s="177"/>
      <c r="BA9" s="174"/>
      <c r="BB9" s="180"/>
      <c r="BC9" s="50">
        <f>AVERAGE(F9:AU9)</f>
        <v>21.954545454545453</v>
      </c>
      <c r="BD9" s="173"/>
      <c r="BE9" s="267"/>
      <c r="BF9" s="22"/>
      <c r="BG9" s="236"/>
      <c r="BH9" s="236"/>
      <c r="BI9" s="22"/>
      <c r="BJ9" s="22"/>
      <c r="BK9" s="164"/>
      <c r="BL9" s="165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65"/>
    </row>
    <row r="10" spans="1:80" ht="18" customHeight="1" thickBot="1" thickTop="1">
      <c r="A10" s="255">
        <f>VLOOKUP(C10,Исходник!$A$3:$L$44,12,FALSE)</f>
        <v>49</v>
      </c>
      <c r="B10" s="84"/>
      <c r="C10" s="166" t="str">
        <f>VLOOKUP(B11,Исходник!$Q$3:$AY$44,35,FALSE)</f>
        <v>Шашеро Антон
СФДМ, Москва</v>
      </c>
      <c r="D10" s="166"/>
      <c r="E10" s="167"/>
      <c r="F10" s="51"/>
      <c r="G10" s="188">
        <v>21.33</v>
      </c>
      <c r="H10" s="189"/>
      <c r="I10" s="25"/>
      <c r="J10" s="211"/>
      <c r="K10" s="212"/>
      <c r="L10" s="38">
        <v>1</v>
      </c>
      <c r="M10" s="188">
        <v>22.09</v>
      </c>
      <c r="N10" s="189"/>
      <c r="O10" s="38"/>
      <c r="P10" s="188">
        <v>21.37</v>
      </c>
      <c r="Q10" s="189"/>
      <c r="R10" s="38"/>
      <c r="S10" s="188">
        <v>21.23</v>
      </c>
      <c r="T10" s="189"/>
      <c r="U10" s="38"/>
      <c r="V10" s="188">
        <v>24.78</v>
      </c>
      <c r="W10" s="189"/>
      <c r="X10" s="38"/>
      <c r="Y10" s="188">
        <v>23.48</v>
      </c>
      <c r="Z10" s="189"/>
      <c r="AA10" s="38">
        <v>1</v>
      </c>
      <c r="AB10" s="188">
        <v>19</v>
      </c>
      <c r="AC10" s="189"/>
      <c r="AD10" s="38"/>
      <c r="AE10" s="188">
        <v>23.04</v>
      </c>
      <c r="AF10" s="189"/>
      <c r="AG10" s="38">
        <v>1</v>
      </c>
      <c r="AH10" s="188">
        <v>22.47</v>
      </c>
      <c r="AI10" s="189"/>
      <c r="AJ10" s="38"/>
      <c r="AK10" s="188"/>
      <c r="AL10" s="189"/>
      <c r="AM10" s="38"/>
      <c r="AN10" s="188"/>
      <c r="AO10" s="189"/>
      <c r="AP10" s="38"/>
      <c r="AQ10" s="188"/>
      <c r="AR10" s="189"/>
      <c r="AS10" s="38"/>
      <c r="AT10" s="188"/>
      <c r="AU10" s="189"/>
      <c r="AV10" s="201">
        <f>COUNTIF(F11:AU11,"в")</f>
        <v>8</v>
      </c>
      <c r="AW10" s="179">
        <f>F11+I11+L11+O11+R11+U11+X11+AA11+AD11+AG11+AJ11+AM11+AP11+AS11</f>
        <v>26</v>
      </c>
      <c r="AX10" s="184" t="s">
        <v>2</v>
      </c>
      <c r="AY10" s="183">
        <f>AU11+AR11+AO11+AL11+AI11+AF11+AC11+Z11+W11+T11+Q11+N11+K11+H11</f>
        <v>11</v>
      </c>
      <c r="AZ10" s="175">
        <f>IF(BL10=0,0,RANK(BL10,$BL$7:$BL$48,0))</f>
        <v>1</v>
      </c>
      <c r="BA10" s="174">
        <f>IF(BL10=0,0,VLOOKUP(AZ10,$BG$7:$BH$48,2,FALSE))</f>
        <v>30</v>
      </c>
      <c r="BB10" s="180">
        <f>A10+BA10</f>
        <v>79</v>
      </c>
      <c r="BC10" s="39">
        <f>AVERAGE(G10,J10,M10,P10,S10,V10,Y10,AB10,AE10,AH10,AK10,AN10,AQ10,AT10)</f>
        <v>22.087777777777777</v>
      </c>
      <c r="BD10" s="172">
        <f>F10+AS10+AP10+AM10+AJ10+AG10+AD10+AA10+X10+U10+R10+O10+L10+I10</f>
        <v>3</v>
      </c>
      <c r="BE10" s="259"/>
      <c r="BF10" s="22"/>
      <c r="BG10" s="236">
        <v>2</v>
      </c>
      <c r="BH10" s="236">
        <v>26</v>
      </c>
      <c r="BI10" s="22"/>
      <c r="BJ10" s="22"/>
      <c r="BK10" s="164">
        <f>IF((AV10+AW12*0.001)=0,0,AV10+AW12*0.001+1)</f>
        <v>9.015</v>
      </c>
      <c r="BL10" s="165">
        <f>BK10+CB10*0.0001</f>
        <v>9.015</v>
      </c>
      <c r="BM10" s="88"/>
      <c r="BN10" s="89">
        <f>IF(I11&gt;K11,1,0)+(I11-K11)*0.1</f>
        <v>0</v>
      </c>
      <c r="BO10" s="90">
        <f>IF(L11&gt;N11,1,0)+(L11-N11)*0.1</f>
        <v>1.1</v>
      </c>
      <c r="BP10" s="90">
        <f>IF(O11&gt;Q11,1,0)+(O11-Q11)*0.1</f>
        <v>1.2</v>
      </c>
      <c r="BQ10" s="90">
        <f>IF(R11&gt;T11,1,0)+(R11-T11)*0.1</f>
        <v>1.2</v>
      </c>
      <c r="BR10" s="90">
        <f>IF(U11&gt;W11,1,0)+(U11-W11)*0.1</f>
        <v>1.2</v>
      </c>
      <c r="BS10" s="90">
        <f>IF(X11&gt;Z11,1,0)+(X11-Z11)*0.1</f>
        <v>1.3</v>
      </c>
      <c r="BT10" s="90">
        <f>IF(AA11&gt;AC11,1,0)+(AA11-AC11)*0.1</f>
        <v>1.2</v>
      </c>
      <c r="BU10" s="90">
        <f>IF(AD11&gt;AF11,1,0)+(AD11-AF11)*0.1</f>
        <v>1.2</v>
      </c>
      <c r="BV10" s="90">
        <f>IF(AG11&gt;AI11,1,0)+(AG11-AI11)*0.1</f>
        <v>1.2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-0.1</v>
      </c>
      <c r="CB10" s="165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56"/>
      <c r="B11" s="85">
        <v>2</v>
      </c>
      <c r="C11" s="168"/>
      <c r="D11" s="168"/>
      <c r="E11" s="169"/>
      <c r="F11" s="42">
        <f>K8</f>
        <v>2</v>
      </c>
      <c r="G11" s="122">
        <f>IF(F11&gt;H11,"в","")</f>
      </c>
      <c r="H11" s="43">
        <f>I8</f>
        <v>3</v>
      </c>
      <c r="I11" s="40"/>
      <c r="J11" s="28">
        <v>2</v>
      </c>
      <c r="K11" s="52"/>
      <c r="L11" s="42">
        <v>3</v>
      </c>
      <c r="M11" s="120" t="str">
        <f>IF(L11&gt;N11,"в","")</f>
        <v>в</v>
      </c>
      <c r="N11" s="43">
        <v>2</v>
      </c>
      <c r="O11" s="42">
        <v>3</v>
      </c>
      <c r="P11" s="120" t="str">
        <f>IF(O11&gt;Q11,"в","")</f>
        <v>в</v>
      </c>
      <c r="Q11" s="43">
        <v>1</v>
      </c>
      <c r="R11" s="42">
        <v>3</v>
      </c>
      <c r="S11" s="120" t="str">
        <f>IF(R11&gt;T11,"в","")</f>
        <v>в</v>
      </c>
      <c r="T11" s="43">
        <v>1</v>
      </c>
      <c r="U11" s="42">
        <v>3</v>
      </c>
      <c r="V11" s="120" t="str">
        <f>IF(U11&gt;W11,"в","")</f>
        <v>в</v>
      </c>
      <c r="W11" s="43">
        <v>1</v>
      </c>
      <c r="X11" s="42">
        <v>3</v>
      </c>
      <c r="Y11" s="120" t="str">
        <f>IF(X11&gt;Z11,"в","")</f>
        <v>в</v>
      </c>
      <c r="Z11" s="43">
        <v>0</v>
      </c>
      <c r="AA11" s="42">
        <v>3</v>
      </c>
      <c r="AB11" s="120" t="str">
        <f>IF(AA11&gt;AC11,"в","")</f>
        <v>в</v>
      </c>
      <c r="AC11" s="43">
        <v>1</v>
      </c>
      <c r="AD11" s="42">
        <v>3</v>
      </c>
      <c r="AE11" s="120" t="str">
        <f>IF(AD11&gt;AF11,"в","")</f>
        <v>в</v>
      </c>
      <c r="AF11" s="43">
        <v>1</v>
      </c>
      <c r="AG11" s="42">
        <v>3</v>
      </c>
      <c r="AH11" s="120" t="str">
        <f>IF(AG11&gt;AI11,"в","")</f>
        <v>в</v>
      </c>
      <c r="AI11" s="43">
        <v>1</v>
      </c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202"/>
      <c r="AW11" s="179"/>
      <c r="AX11" s="184"/>
      <c r="AY11" s="183"/>
      <c r="AZ11" s="176"/>
      <c r="BA11" s="174"/>
      <c r="BB11" s="180"/>
      <c r="BC11" s="44">
        <f>BC10*3</f>
        <v>66.26333333333334</v>
      </c>
      <c r="BD11" s="173"/>
      <c r="BE11" s="260"/>
      <c r="BF11" s="22"/>
      <c r="BG11" s="236"/>
      <c r="BH11" s="236"/>
      <c r="BI11" s="22"/>
      <c r="BJ11" s="22"/>
      <c r="BK11" s="164"/>
      <c r="BL11" s="165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65"/>
    </row>
    <row r="12" spans="1:80" ht="18" customHeight="1" thickBot="1" thickTop="1">
      <c r="A12" s="257"/>
      <c r="B12" s="86"/>
      <c r="C12" s="170"/>
      <c r="D12" s="170"/>
      <c r="E12" s="171"/>
      <c r="F12" s="47">
        <v>24</v>
      </c>
      <c r="G12" s="48">
        <v>27</v>
      </c>
      <c r="H12" s="49"/>
      <c r="I12" s="45"/>
      <c r="J12" s="46"/>
      <c r="K12" s="53"/>
      <c r="L12" s="47">
        <v>23</v>
      </c>
      <c r="M12" s="48">
        <v>20</v>
      </c>
      <c r="N12" s="49">
        <v>16</v>
      </c>
      <c r="O12" s="47">
        <v>21</v>
      </c>
      <c r="P12" s="48">
        <v>19</v>
      </c>
      <c r="Q12" s="49">
        <v>26</v>
      </c>
      <c r="R12" s="47">
        <v>26</v>
      </c>
      <c r="S12" s="48">
        <v>23</v>
      </c>
      <c r="T12" s="49">
        <v>21</v>
      </c>
      <c r="U12" s="47">
        <v>16</v>
      </c>
      <c r="V12" s="48">
        <v>22</v>
      </c>
      <c r="W12" s="49">
        <v>21</v>
      </c>
      <c r="X12" s="47">
        <v>19</v>
      </c>
      <c r="Y12" s="48">
        <v>22</v>
      </c>
      <c r="Z12" s="49">
        <v>23</v>
      </c>
      <c r="AA12" s="47">
        <v>21</v>
      </c>
      <c r="AB12" s="48">
        <v>26</v>
      </c>
      <c r="AC12" s="49">
        <v>28</v>
      </c>
      <c r="AD12" s="47">
        <v>24</v>
      </c>
      <c r="AE12" s="48">
        <v>20</v>
      </c>
      <c r="AF12" s="49">
        <v>18</v>
      </c>
      <c r="AG12" s="47">
        <v>23</v>
      </c>
      <c r="AH12" s="48">
        <v>21</v>
      </c>
      <c r="AI12" s="49">
        <v>24</v>
      </c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203"/>
      <c r="AW12" s="178">
        <f>AW10-AY10</f>
        <v>15</v>
      </c>
      <c r="AX12" s="178"/>
      <c r="AY12" s="178"/>
      <c r="AZ12" s="177"/>
      <c r="BA12" s="174"/>
      <c r="BB12" s="180"/>
      <c r="BC12" s="50">
        <f>AVERAGE(F12:AU12)</f>
        <v>22.076923076923077</v>
      </c>
      <c r="BD12" s="173"/>
      <c r="BE12" s="261"/>
      <c r="BF12" s="22"/>
      <c r="BG12" s="236"/>
      <c r="BH12" s="236"/>
      <c r="BI12" s="22"/>
      <c r="BJ12" s="22"/>
      <c r="BK12" s="164"/>
      <c r="BL12" s="165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65"/>
    </row>
    <row r="13" spans="1:80" ht="18" customHeight="1" thickBot="1" thickTop="1">
      <c r="A13" s="255">
        <f>VLOOKUP(C13,Исходник!$A$3:$L$44,12,FALSE)</f>
        <v>35</v>
      </c>
      <c r="B13" s="84"/>
      <c r="C13" s="166" t="str">
        <f>VLOOKUP(B14,Исходник!$Q$3:$AY$44,35,FALSE)</f>
        <v>Хроменко Олег
СФДМ, Москва</v>
      </c>
      <c r="D13" s="166"/>
      <c r="E13" s="167"/>
      <c r="F13" s="38"/>
      <c r="G13" s="188">
        <v>22.06</v>
      </c>
      <c r="H13" s="189"/>
      <c r="I13" s="38">
        <v>1</v>
      </c>
      <c r="J13" s="188">
        <v>22</v>
      </c>
      <c r="K13" s="189"/>
      <c r="L13" s="26"/>
      <c r="M13" s="211"/>
      <c r="N13" s="212"/>
      <c r="O13" s="38">
        <v>1</v>
      </c>
      <c r="P13" s="188">
        <v>25.92</v>
      </c>
      <c r="Q13" s="189"/>
      <c r="R13" s="38"/>
      <c r="S13" s="188">
        <v>19.78</v>
      </c>
      <c r="T13" s="189"/>
      <c r="U13" s="38"/>
      <c r="V13" s="188">
        <v>24.15</v>
      </c>
      <c r="W13" s="189"/>
      <c r="X13" s="38"/>
      <c r="Y13" s="188">
        <v>23.74</v>
      </c>
      <c r="Z13" s="189"/>
      <c r="AA13" s="38">
        <v>1</v>
      </c>
      <c r="AB13" s="188">
        <v>22.43</v>
      </c>
      <c r="AC13" s="189"/>
      <c r="AD13" s="38"/>
      <c r="AE13" s="188">
        <v>21.58</v>
      </c>
      <c r="AF13" s="189"/>
      <c r="AG13" s="38"/>
      <c r="AH13" s="188">
        <v>21.47</v>
      </c>
      <c r="AI13" s="189"/>
      <c r="AJ13" s="38"/>
      <c r="AK13" s="188"/>
      <c r="AL13" s="189"/>
      <c r="AM13" s="38"/>
      <c r="AN13" s="188"/>
      <c r="AO13" s="189"/>
      <c r="AP13" s="38"/>
      <c r="AQ13" s="188"/>
      <c r="AR13" s="189"/>
      <c r="AS13" s="38"/>
      <c r="AT13" s="188"/>
      <c r="AU13" s="189"/>
      <c r="AV13" s="201">
        <f>COUNTIF(F14:AU14,"в")</f>
        <v>6</v>
      </c>
      <c r="AW13" s="179">
        <f>F14+I14+L14+O14+R14+U14+X14+AA14+AD14+AG14+AJ14+AM14+AP14+AS14</f>
        <v>22</v>
      </c>
      <c r="AX13" s="184" t="s">
        <v>2</v>
      </c>
      <c r="AY13" s="183">
        <f>AU14+AR14+AO14+AL14+AI14+AF14+AC14+Z14+W14+T14+Q14+N14+K14+H14</f>
        <v>15</v>
      </c>
      <c r="AZ13" s="175">
        <f>IF(BL13=0,0,RANK(BL13,$BL$7:$BL$48,0))</f>
        <v>4</v>
      </c>
      <c r="BA13" s="174">
        <f>IF(BL13=0,0,VLOOKUP(AZ13,$BG$7:$BH$48,2,FALSE))</f>
        <v>20</v>
      </c>
      <c r="BB13" s="180">
        <f>A13+BA13</f>
        <v>55</v>
      </c>
      <c r="BC13" s="39">
        <f>AVERAGE(G13,J13,M13,P13,S13,V13,Y13,AB13,AE13,AH13,AK13,AN13,AQ13,AT13)</f>
        <v>22.570000000000004</v>
      </c>
      <c r="BD13" s="172">
        <f>F13+AS13+AP13+AM13+AJ13+AG13+AD13+AA13+X13+U13+R13+O13+L13+I13</f>
        <v>3</v>
      </c>
      <c r="BE13" s="259" t="s">
        <v>103</v>
      </c>
      <c r="BF13" s="22"/>
      <c r="BG13" s="236">
        <v>3</v>
      </c>
      <c r="BH13" s="236">
        <v>23</v>
      </c>
      <c r="BI13" s="22"/>
      <c r="BJ13" s="22"/>
      <c r="BK13" s="164">
        <f>IF((AV13+AW15*0.001)=0,0,AV13+AW15*0.001+1)</f>
        <v>7.007</v>
      </c>
      <c r="BL13" s="165">
        <f>BK13+CB13*0.0001</f>
        <v>7.007</v>
      </c>
      <c r="BM13" s="88"/>
      <c r="BN13" s="89">
        <f>IF(L14&gt;N14,1,0)+(L14-N14)*0.1</f>
        <v>0</v>
      </c>
      <c r="BO13" s="90">
        <f>IF(O14&gt;Q14,1,0)+(O14-Q14)*0.1</f>
        <v>1.2</v>
      </c>
      <c r="BP13" s="90">
        <f>IF(R14&gt;T14,1,0)+(R14-T14)*0.1</f>
        <v>-0.2</v>
      </c>
      <c r="BQ13" s="90">
        <f>IF(U14&gt;W14,1,0)+(U14-W14)*0.1</f>
        <v>1.1</v>
      </c>
      <c r="BR13" s="90">
        <f>IF(X14&gt;Z14,1,0)+(X14-Z14)*0.1</f>
        <v>1.2</v>
      </c>
      <c r="BS13" s="90">
        <f>IF(AA14&gt;AC14,1,0)+(AA14-AC14)*0.1</f>
        <v>1.3</v>
      </c>
      <c r="BT13" s="90">
        <f>IF(AD14&gt;AF14,1,0)+(AD14-AF14)*0.1</f>
        <v>-0.2</v>
      </c>
      <c r="BU13" s="90">
        <f>IF(AG14&gt;AI14,1,0)+(AG14-AI14)*0.1</f>
        <v>1.3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1.1</v>
      </c>
      <c r="CA13" s="90">
        <f>IF(I14&gt;K14,1,0)+(I14-K14)*0.1</f>
        <v>-0.1</v>
      </c>
      <c r="CB13" s="165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56"/>
      <c r="B14" s="85">
        <v>3</v>
      </c>
      <c r="C14" s="168"/>
      <c r="D14" s="168"/>
      <c r="E14" s="169"/>
      <c r="F14" s="42">
        <f>N8</f>
        <v>3</v>
      </c>
      <c r="G14" s="120" t="str">
        <f>IF(F14&gt;H14,"в","")</f>
        <v>в</v>
      </c>
      <c r="H14" s="43">
        <f>L8</f>
        <v>2</v>
      </c>
      <c r="I14" s="42">
        <f>N11</f>
        <v>2</v>
      </c>
      <c r="J14" s="122">
        <f>IF(I14&gt;K14,"в","")</f>
      </c>
      <c r="K14" s="43">
        <f>L11</f>
        <v>3</v>
      </c>
      <c r="L14" s="40"/>
      <c r="M14" s="54" t="s">
        <v>13</v>
      </c>
      <c r="N14" s="52"/>
      <c r="O14" s="42">
        <v>3</v>
      </c>
      <c r="P14" s="120" t="str">
        <f>IF(O14&gt;Q14,"в","")</f>
        <v>в</v>
      </c>
      <c r="Q14" s="43">
        <v>1</v>
      </c>
      <c r="R14" s="42">
        <v>1</v>
      </c>
      <c r="S14" s="122">
        <f>IF(R14&gt;T14,"в","")</f>
      </c>
      <c r="T14" s="43">
        <v>3</v>
      </c>
      <c r="U14" s="42">
        <v>3</v>
      </c>
      <c r="V14" s="120" t="str">
        <f>IF(U14&gt;W14,"в","")</f>
        <v>в</v>
      </c>
      <c r="W14" s="43">
        <v>2</v>
      </c>
      <c r="X14" s="42">
        <v>3</v>
      </c>
      <c r="Y14" s="120" t="str">
        <f>IF(X14&gt;Z14,"в","")</f>
        <v>в</v>
      </c>
      <c r="Z14" s="43">
        <v>1</v>
      </c>
      <c r="AA14" s="42">
        <v>3</v>
      </c>
      <c r="AB14" s="120" t="str">
        <f>IF(AA14&gt;AC14,"в","")</f>
        <v>в</v>
      </c>
      <c r="AC14" s="43">
        <v>0</v>
      </c>
      <c r="AD14" s="42">
        <v>1</v>
      </c>
      <c r="AE14" s="122">
        <f>IF(AD14&gt;AF14,"в","")</f>
      </c>
      <c r="AF14" s="43">
        <v>3</v>
      </c>
      <c r="AG14" s="42">
        <v>3</v>
      </c>
      <c r="AH14" s="120" t="str">
        <f>IF(AG14&gt;AI14,"в","")</f>
        <v>в</v>
      </c>
      <c r="AI14" s="43">
        <v>0</v>
      </c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202"/>
      <c r="AW14" s="179"/>
      <c r="AX14" s="184"/>
      <c r="AY14" s="183"/>
      <c r="AZ14" s="176"/>
      <c r="BA14" s="174"/>
      <c r="BB14" s="180"/>
      <c r="BC14" s="44">
        <f>BC13*3</f>
        <v>67.71000000000001</v>
      </c>
      <c r="BD14" s="173"/>
      <c r="BE14" s="260"/>
      <c r="BF14" s="22"/>
      <c r="BG14" s="236"/>
      <c r="BH14" s="236"/>
      <c r="BI14" s="22"/>
      <c r="BJ14" s="22"/>
      <c r="BK14" s="164"/>
      <c r="BL14" s="165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65"/>
    </row>
    <row r="15" spans="1:80" ht="18" customHeight="1" thickBot="1" thickTop="1">
      <c r="A15" s="257"/>
      <c r="B15" s="86"/>
      <c r="C15" s="170"/>
      <c r="D15" s="170"/>
      <c r="E15" s="171"/>
      <c r="F15" s="47">
        <v>25</v>
      </c>
      <c r="G15" s="48">
        <v>21</v>
      </c>
      <c r="H15" s="49">
        <v>18</v>
      </c>
      <c r="I15" s="47">
        <v>21</v>
      </c>
      <c r="J15" s="48">
        <v>26</v>
      </c>
      <c r="K15" s="49"/>
      <c r="L15" s="45"/>
      <c r="M15" s="46"/>
      <c r="N15" s="53"/>
      <c r="O15" s="47">
        <v>15</v>
      </c>
      <c r="P15" s="48">
        <v>22</v>
      </c>
      <c r="Q15" s="49">
        <v>16</v>
      </c>
      <c r="R15" s="47">
        <v>20</v>
      </c>
      <c r="S15" s="48"/>
      <c r="T15" s="49"/>
      <c r="U15" s="47">
        <v>20</v>
      </c>
      <c r="V15" s="48">
        <v>21</v>
      </c>
      <c r="W15" s="49">
        <v>18</v>
      </c>
      <c r="X15" s="47">
        <v>23</v>
      </c>
      <c r="Y15" s="48">
        <v>16</v>
      </c>
      <c r="Z15" s="49">
        <v>18</v>
      </c>
      <c r="AA15" s="47">
        <v>23</v>
      </c>
      <c r="AB15" s="48">
        <v>22</v>
      </c>
      <c r="AC15" s="49">
        <v>22</v>
      </c>
      <c r="AD15" s="47">
        <v>23</v>
      </c>
      <c r="AE15" s="48"/>
      <c r="AF15" s="49"/>
      <c r="AG15" s="47">
        <v>24</v>
      </c>
      <c r="AH15" s="48">
        <v>28</v>
      </c>
      <c r="AI15" s="49">
        <v>18</v>
      </c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203"/>
      <c r="AW15" s="178">
        <f>AW13-AY13</f>
        <v>7</v>
      </c>
      <c r="AX15" s="178"/>
      <c r="AY15" s="178"/>
      <c r="AZ15" s="177"/>
      <c r="BA15" s="174"/>
      <c r="BB15" s="180"/>
      <c r="BC15" s="50">
        <f>AVERAGE(F15:AU15)</f>
        <v>20.90909090909091</v>
      </c>
      <c r="BD15" s="173"/>
      <c r="BE15" s="261"/>
      <c r="BF15" s="22"/>
      <c r="BG15" s="236"/>
      <c r="BH15" s="236"/>
      <c r="BI15" s="22"/>
      <c r="BJ15" s="22"/>
      <c r="BK15" s="164"/>
      <c r="BL15" s="165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65"/>
    </row>
    <row r="16" spans="1:80" ht="18" customHeight="1" thickBot="1" thickTop="1">
      <c r="A16" s="255">
        <f>VLOOKUP(C16,Исходник!$A$3:$L$44,12,FALSE)</f>
        <v>34</v>
      </c>
      <c r="B16" s="84"/>
      <c r="C16" s="166" t="str">
        <f>VLOOKUP(B17,Исходник!$Q$3:$AY$44,35,FALSE)</f>
        <v>Новоселов Павел
СФДМ, Москва</v>
      </c>
      <c r="D16" s="166"/>
      <c r="E16" s="167"/>
      <c r="F16" s="38"/>
      <c r="G16" s="188">
        <v>22.46</v>
      </c>
      <c r="H16" s="189"/>
      <c r="I16" s="51"/>
      <c r="J16" s="188">
        <v>20.06</v>
      </c>
      <c r="K16" s="189"/>
      <c r="L16" s="51"/>
      <c r="M16" s="188">
        <v>22.12</v>
      </c>
      <c r="N16" s="189"/>
      <c r="O16" s="26"/>
      <c r="P16" s="211"/>
      <c r="Q16" s="212"/>
      <c r="R16" s="38"/>
      <c r="S16" s="188">
        <v>20.87</v>
      </c>
      <c r="T16" s="189"/>
      <c r="U16" s="38"/>
      <c r="V16" s="188">
        <v>20.87</v>
      </c>
      <c r="W16" s="189"/>
      <c r="X16" s="38"/>
      <c r="Y16" s="188">
        <v>19.77</v>
      </c>
      <c r="Z16" s="189"/>
      <c r="AA16" s="38"/>
      <c r="AB16" s="188">
        <v>22.23</v>
      </c>
      <c r="AC16" s="189"/>
      <c r="AD16" s="38"/>
      <c r="AE16" s="188">
        <v>23.48</v>
      </c>
      <c r="AF16" s="189"/>
      <c r="AG16" s="38"/>
      <c r="AH16" s="188">
        <v>21.53</v>
      </c>
      <c r="AI16" s="189"/>
      <c r="AJ16" s="38"/>
      <c r="AK16" s="188"/>
      <c r="AL16" s="189"/>
      <c r="AM16" s="38"/>
      <c r="AN16" s="188"/>
      <c r="AO16" s="189"/>
      <c r="AP16" s="38"/>
      <c r="AQ16" s="188"/>
      <c r="AR16" s="189"/>
      <c r="AS16" s="38"/>
      <c r="AT16" s="188"/>
      <c r="AU16" s="189"/>
      <c r="AV16" s="201">
        <f>COUNTIF(F17:AU17,"в")</f>
        <v>7</v>
      </c>
      <c r="AW16" s="179">
        <f>F17+I17+L17+O17+R17+U17+X17+AA17+AD17+AG17+AJ17+AM17+AP17+AS17</f>
        <v>23</v>
      </c>
      <c r="AX16" s="184" t="s">
        <v>2</v>
      </c>
      <c r="AY16" s="183">
        <f>AU17+AR17+AO17+AL17+AI17+AF17+AC17+Z17+W17+T17+Q17+N17+K17+H17</f>
        <v>8</v>
      </c>
      <c r="AZ16" s="175">
        <f>IF(BL16=0,0,RANK(BL16,$BL$7:$BL$48,0))</f>
        <v>2</v>
      </c>
      <c r="BA16" s="174">
        <f>IF(BL16=0,0,VLOOKUP(AZ16,$BG$7:$BH$48,2,FALSE))</f>
        <v>26</v>
      </c>
      <c r="BB16" s="180">
        <f>A16+BA16</f>
        <v>60</v>
      </c>
      <c r="BC16" s="39">
        <f>AVERAGE(G16,J16,M16,P16,S16,V16,Y16,AB16,AE16,AH16,AK16,AN16,AQ16,AT16)</f>
        <v>21.487777777777776</v>
      </c>
      <c r="BD16" s="172">
        <f>F16+AS16+AP16+AM16+AJ16+AG16+AD16+AA16+X16+U16+R16+O16+L16+I16</f>
        <v>0</v>
      </c>
      <c r="BE16" s="262"/>
      <c r="BF16" s="22"/>
      <c r="BG16" s="236">
        <v>4</v>
      </c>
      <c r="BH16" s="236">
        <v>20</v>
      </c>
      <c r="BI16" s="22"/>
      <c r="BJ16" s="22"/>
      <c r="BK16" s="164">
        <f>IF((AV16+AW18*0.001)=0,0,AV16+AW18*0.001+1)</f>
        <v>8.015</v>
      </c>
      <c r="BL16" s="165">
        <f>BK16+CB16*0.0001</f>
        <v>8.015</v>
      </c>
      <c r="BM16" s="88"/>
      <c r="BN16" s="89">
        <f>IF(O17&gt;Q17,1,0)+(O17-Q17)*0.1</f>
        <v>0</v>
      </c>
      <c r="BO16" s="90">
        <f>IF(R17&gt;T17,1,0)+(R17-T17)*0.1</f>
        <v>1.3</v>
      </c>
      <c r="BP16" s="90">
        <f>IF(U17&gt;W17,1,0)+(U17-W17)*0.1</f>
        <v>1.3</v>
      </c>
      <c r="BQ16" s="90">
        <f>IF(X17&gt;Z17,1,0)+(X17-Z17)*0.1</f>
        <v>1.3</v>
      </c>
      <c r="BR16" s="90">
        <f>IF(AA17&gt;AC17,1,0)+(AA17-AC17)*0.1</f>
        <v>1.3</v>
      </c>
      <c r="BS16" s="90">
        <f>IF(AD17&gt;AF17,1,0)+(AD17-AF17)*0.1</f>
        <v>1.3</v>
      </c>
      <c r="BT16" s="90">
        <f>IF(AG17&gt;AI17,1,0)+(AG17-AI17)*0.1</f>
        <v>1.1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1.3</v>
      </c>
      <c r="BZ16" s="90">
        <f>IF(I17&gt;K17,1,0)+(I17-K17)*0.1</f>
        <v>-0.2</v>
      </c>
      <c r="CA16" s="90">
        <f>IF(L17&gt;N17,1,0)+(L17-N17)*0.1</f>
        <v>-0.2</v>
      </c>
      <c r="CB16" s="165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56"/>
      <c r="B17" s="85">
        <v>4</v>
      </c>
      <c r="C17" s="168"/>
      <c r="D17" s="168"/>
      <c r="E17" s="169"/>
      <c r="F17" s="42">
        <f>Q8</f>
        <v>3</v>
      </c>
      <c r="G17" s="120" t="str">
        <f>IF(F17&gt;H17,"в","")</f>
        <v>в</v>
      </c>
      <c r="H17" s="43">
        <f>O8</f>
        <v>0</v>
      </c>
      <c r="I17" s="42">
        <f>Q11</f>
        <v>1</v>
      </c>
      <c r="J17" s="122">
        <f>IF(I17&gt;K17,"в","")</f>
      </c>
      <c r="K17" s="43">
        <f>O11</f>
        <v>3</v>
      </c>
      <c r="L17" s="42">
        <f>Q14</f>
        <v>1</v>
      </c>
      <c r="M17" s="122">
        <f>IF(L17&gt;N17,"в","")</f>
      </c>
      <c r="N17" s="43">
        <f>O14</f>
        <v>3</v>
      </c>
      <c r="O17" s="40"/>
      <c r="P17" s="28">
        <v>4</v>
      </c>
      <c r="Q17" s="52"/>
      <c r="R17" s="42">
        <v>3</v>
      </c>
      <c r="S17" s="120" t="str">
        <f>IF(R17&gt;T17,"в","")</f>
        <v>в</v>
      </c>
      <c r="T17" s="43">
        <v>0</v>
      </c>
      <c r="U17" s="42">
        <v>3</v>
      </c>
      <c r="V17" s="120" t="str">
        <f>IF(U17&gt;W17,"в","")</f>
        <v>в</v>
      </c>
      <c r="W17" s="43">
        <v>0</v>
      </c>
      <c r="X17" s="42">
        <v>3</v>
      </c>
      <c r="Y17" s="120" t="str">
        <f>IF(X17&gt;Z17,"в","")</f>
        <v>в</v>
      </c>
      <c r="Z17" s="43">
        <v>0</v>
      </c>
      <c r="AA17" s="42">
        <v>3</v>
      </c>
      <c r="AB17" s="120" t="str">
        <f>IF(AA17&gt;AC17,"в","")</f>
        <v>в</v>
      </c>
      <c r="AC17" s="43">
        <v>0</v>
      </c>
      <c r="AD17" s="42">
        <v>3</v>
      </c>
      <c r="AE17" s="120" t="str">
        <f>IF(AD17&gt;AF17,"в","")</f>
        <v>в</v>
      </c>
      <c r="AF17" s="43">
        <v>0</v>
      </c>
      <c r="AG17" s="42">
        <v>3</v>
      </c>
      <c r="AH17" s="120" t="str">
        <f>IF(AG17&gt;AI17,"в","")</f>
        <v>в</v>
      </c>
      <c r="AI17" s="43">
        <v>2</v>
      </c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202"/>
      <c r="AW17" s="179"/>
      <c r="AX17" s="184"/>
      <c r="AY17" s="183"/>
      <c r="AZ17" s="176"/>
      <c r="BA17" s="174"/>
      <c r="BB17" s="180"/>
      <c r="BC17" s="44">
        <f>BC16*3</f>
        <v>64.46333333333332</v>
      </c>
      <c r="BD17" s="173"/>
      <c r="BE17" s="260"/>
      <c r="BF17" s="22"/>
      <c r="BG17" s="236"/>
      <c r="BH17" s="236"/>
      <c r="BI17" s="22"/>
      <c r="BJ17" s="22"/>
      <c r="BK17" s="164"/>
      <c r="BL17" s="165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65"/>
    </row>
    <row r="18" spans="1:80" ht="18" customHeight="1" thickBot="1" thickTop="1">
      <c r="A18" s="257"/>
      <c r="B18" s="86"/>
      <c r="C18" s="170"/>
      <c r="D18" s="170"/>
      <c r="E18" s="171"/>
      <c r="F18" s="47">
        <v>20</v>
      </c>
      <c r="G18" s="48">
        <v>24</v>
      </c>
      <c r="H18" s="49">
        <v>24</v>
      </c>
      <c r="I18" s="47">
        <v>26</v>
      </c>
      <c r="J18" s="48"/>
      <c r="K18" s="49"/>
      <c r="L18" s="47">
        <v>25</v>
      </c>
      <c r="M18" s="48"/>
      <c r="N18" s="49"/>
      <c r="O18" s="45"/>
      <c r="P18" s="46"/>
      <c r="Q18" s="53"/>
      <c r="R18" s="47">
        <v>20</v>
      </c>
      <c r="S18" s="48">
        <v>27</v>
      </c>
      <c r="T18" s="49">
        <v>25</v>
      </c>
      <c r="U18" s="47">
        <v>21</v>
      </c>
      <c r="V18" s="48">
        <v>20</v>
      </c>
      <c r="W18" s="49">
        <v>24</v>
      </c>
      <c r="X18" s="47">
        <v>24</v>
      </c>
      <c r="Y18" s="48">
        <v>26</v>
      </c>
      <c r="Z18" s="49">
        <v>26</v>
      </c>
      <c r="AA18" s="47">
        <v>20</v>
      </c>
      <c r="AB18" s="48">
        <v>19</v>
      </c>
      <c r="AC18" s="49">
        <v>21</v>
      </c>
      <c r="AD18" s="47">
        <v>30</v>
      </c>
      <c r="AE18" s="48">
        <v>17</v>
      </c>
      <c r="AF18" s="49">
        <v>17</v>
      </c>
      <c r="AG18" s="47">
        <v>20</v>
      </c>
      <c r="AH18" s="48">
        <v>25</v>
      </c>
      <c r="AI18" s="49">
        <v>25</v>
      </c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203"/>
      <c r="AW18" s="178">
        <f>AW16-AY16</f>
        <v>15</v>
      </c>
      <c r="AX18" s="178"/>
      <c r="AY18" s="178"/>
      <c r="AZ18" s="177"/>
      <c r="BA18" s="174"/>
      <c r="BB18" s="180"/>
      <c r="BC18" s="50">
        <f>AVERAGE(F18:AU18)</f>
        <v>22.869565217391305</v>
      </c>
      <c r="BD18" s="173"/>
      <c r="BE18" s="261"/>
      <c r="BF18" s="22"/>
      <c r="BG18" s="236"/>
      <c r="BH18" s="236"/>
      <c r="BI18" s="22"/>
      <c r="BJ18" s="22"/>
      <c r="BK18" s="164"/>
      <c r="BL18" s="165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65"/>
    </row>
    <row r="19" spans="1:80" ht="18" customHeight="1" thickBot="1" thickTop="1">
      <c r="A19" s="255">
        <f>VLOOKUP(C19,Исходник!$A$3:$L$44,12,FALSE)</f>
        <v>25</v>
      </c>
      <c r="B19" s="84"/>
      <c r="C19" s="166" t="str">
        <f>VLOOKUP(B20,Исходник!$Q$3:$AY$44,35,FALSE)</f>
        <v>Дераков Евгений
СФДМ, Москва</v>
      </c>
      <c r="D19" s="166"/>
      <c r="E19" s="167"/>
      <c r="F19" s="38">
        <v>1</v>
      </c>
      <c r="G19" s="228">
        <v>26.04</v>
      </c>
      <c r="H19" s="229"/>
      <c r="I19" s="38"/>
      <c r="J19" s="228">
        <v>20.16</v>
      </c>
      <c r="K19" s="229"/>
      <c r="L19" s="38"/>
      <c r="M19" s="228">
        <v>18.99</v>
      </c>
      <c r="N19" s="229"/>
      <c r="O19" s="38"/>
      <c r="P19" s="228">
        <v>18</v>
      </c>
      <c r="Q19" s="229"/>
      <c r="R19" s="26"/>
      <c r="S19" s="211"/>
      <c r="T19" s="212"/>
      <c r="U19" s="38"/>
      <c r="V19" s="188">
        <v>20.71</v>
      </c>
      <c r="W19" s="189"/>
      <c r="X19" s="38"/>
      <c r="Y19" s="188">
        <v>19.23</v>
      </c>
      <c r="Z19" s="189"/>
      <c r="AA19" s="38">
        <v>1</v>
      </c>
      <c r="AB19" s="188">
        <v>17.68</v>
      </c>
      <c r="AC19" s="189"/>
      <c r="AD19" s="38"/>
      <c r="AE19" s="188">
        <v>21.55</v>
      </c>
      <c r="AF19" s="189"/>
      <c r="AG19" s="38"/>
      <c r="AH19" s="188">
        <v>21.07</v>
      </c>
      <c r="AI19" s="189"/>
      <c r="AJ19" s="38"/>
      <c r="AK19" s="188"/>
      <c r="AL19" s="189"/>
      <c r="AM19" s="38"/>
      <c r="AN19" s="188"/>
      <c r="AO19" s="189"/>
      <c r="AP19" s="38"/>
      <c r="AQ19" s="188"/>
      <c r="AR19" s="189"/>
      <c r="AS19" s="38"/>
      <c r="AT19" s="188"/>
      <c r="AU19" s="189"/>
      <c r="AV19" s="201">
        <f>COUNTIF(F20:AU20,"в")</f>
        <v>4</v>
      </c>
      <c r="AW19" s="179">
        <f>F20+I20+L20+O20+R20+U20+X20+AA20+AD20+AG20+AJ20+AM20+AP20+AS20</f>
        <v>16</v>
      </c>
      <c r="AX19" s="184" t="s">
        <v>2</v>
      </c>
      <c r="AY19" s="183">
        <f>AU20+AR20+AO20+AL20+AI20+AF20+AC20+Z20+W20+T20+Q20+N20+K20+H20</f>
        <v>17</v>
      </c>
      <c r="AZ19" s="175">
        <f>IF(BL19=0,0,RANK(BL19,$BL$7:$BL$48,0))</f>
        <v>5</v>
      </c>
      <c r="BA19" s="174">
        <f>IF(BL19=0,0,VLOOKUP(AZ19,$BG$7:$BH$48,2,FALSE))</f>
        <v>17</v>
      </c>
      <c r="BB19" s="180">
        <f>A19+BA19</f>
        <v>42</v>
      </c>
      <c r="BC19" s="39">
        <f>AVERAGE(G19,J19,M19,P19,S19,V19,Y19,AB19,AE19,AH19,AK19,AN19,AQ19,AT19)</f>
        <v>20.38111111111111</v>
      </c>
      <c r="BD19" s="172">
        <f>F19+AS19+AP19+AM19+AJ19+AG19+AD19+AA19+X19+U19+R19+O19+L19+I19</f>
        <v>2</v>
      </c>
      <c r="BE19" s="262"/>
      <c r="BF19" s="22"/>
      <c r="BG19" s="236">
        <v>5</v>
      </c>
      <c r="BH19" s="236">
        <v>17</v>
      </c>
      <c r="BI19" s="22"/>
      <c r="BJ19" s="22"/>
      <c r="BK19" s="164">
        <f>IF((AV19+AW21*0.001)=0,0,AV19+AW21*0.001+1)</f>
        <v>4.9990000000000006</v>
      </c>
      <c r="BL19" s="165">
        <f>BK19+CB19*0.0001</f>
        <v>4.9990000000000006</v>
      </c>
      <c r="BM19" s="88"/>
      <c r="BN19" s="89">
        <f>IF(R20&gt;T20,1,0)+(R20-T20)*0.1</f>
        <v>0</v>
      </c>
      <c r="BO19" s="90">
        <f>IF(U20&gt;W20,1,0)+(U20-W20)*0.1</f>
        <v>-0.30000000000000004</v>
      </c>
      <c r="BP19" s="90">
        <f>IF(X20&gt;Z20,1,0)+(X20-Z20)*0.1</f>
        <v>1.2</v>
      </c>
      <c r="BQ19" s="90">
        <f>IF(AA20&gt;AC20,1,0)+(AA20-AC20)*0.1</f>
        <v>1.3</v>
      </c>
      <c r="BR19" s="90">
        <f>IF(AD20&gt;AF20,1,0)+(AD20-AF20)*0.1</f>
        <v>1.3</v>
      </c>
      <c r="BS19" s="90">
        <f>IF(AG20&gt;AI20,1,0)+(AG20-AI20)*0.1</f>
        <v>-0.1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-0.2</v>
      </c>
      <c r="BY19" s="90">
        <f>IF(I20&gt;K20,1,0)+(I20-K20)*0.1</f>
        <v>-0.2</v>
      </c>
      <c r="BZ19" s="90">
        <f>IF(L20&gt;N20,1,0)+(L20-N20)*0.1</f>
        <v>1.2</v>
      </c>
      <c r="CA19" s="90">
        <f>IF(O20&gt;Q20,1,0)+(O20-Q20)*0.1</f>
        <v>-0.30000000000000004</v>
      </c>
      <c r="CB19" s="165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56"/>
      <c r="B20" s="85">
        <v>5</v>
      </c>
      <c r="C20" s="168"/>
      <c r="D20" s="168"/>
      <c r="E20" s="169"/>
      <c r="F20" s="42">
        <f>T8</f>
        <v>1</v>
      </c>
      <c r="G20" s="122">
        <f>IF(F20&gt;H20,"в","")</f>
      </c>
      <c r="H20" s="43">
        <f>R8</f>
        <v>3</v>
      </c>
      <c r="I20" s="42">
        <f>T11</f>
        <v>1</v>
      </c>
      <c r="J20" s="122">
        <f>IF(I20&gt;K20,"в","")</f>
      </c>
      <c r="K20" s="43">
        <f>R11</f>
        <v>3</v>
      </c>
      <c r="L20" s="42">
        <f>T14</f>
        <v>3</v>
      </c>
      <c r="M20" s="120" t="str">
        <f>IF(L20&gt;N20,"в","")</f>
        <v>в</v>
      </c>
      <c r="N20" s="43">
        <f>R14</f>
        <v>1</v>
      </c>
      <c r="O20" s="42">
        <f>T17</f>
        <v>0</v>
      </c>
      <c r="P20" s="122">
        <f>IF(O20&gt;Q20,"в","")</f>
      </c>
      <c r="Q20" s="43">
        <f>R17</f>
        <v>3</v>
      </c>
      <c r="R20" s="40"/>
      <c r="S20" s="28">
        <v>5</v>
      </c>
      <c r="T20" s="52"/>
      <c r="U20" s="42">
        <v>0</v>
      </c>
      <c r="V20" s="122">
        <f>IF(U20&gt;W20,"в","")</f>
      </c>
      <c r="W20" s="43">
        <v>3</v>
      </c>
      <c r="X20" s="42">
        <v>3</v>
      </c>
      <c r="Y20" s="120" t="str">
        <f>IF(X20&gt;Z20,"в","")</f>
        <v>в</v>
      </c>
      <c r="Z20" s="43">
        <v>1</v>
      </c>
      <c r="AA20" s="42">
        <v>3</v>
      </c>
      <c r="AB20" s="120" t="str">
        <f>IF(AA20&gt;AC20,"в","")</f>
        <v>в</v>
      </c>
      <c r="AC20" s="43">
        <v>0</v>
      </c>
      <c r="AD20" s="42">
        <v>3</v>
      </c>
      <c r="AE20" s="120" t="str">
        <f>IF(AD20&gt;AF20,"в","")</f>
        <v>в</v>
      </c>
      <c r="AF20" s="43">
        <v>0</v>
      </c>
      <c r="AG20" s="42">
        <v>2</v>
      </c>
      <c r="AH20" s="122">
        <f>IF(AG20&gt;AI20,"в","")</f>
      </c>
      <c r="AI20" s="43">
        <v>3</v>
      </c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202"/>
      <c r="AW20" s="179"/>
      <c r="AX20" s="184"/>
      <c r="AY20" s="183"/>
      <c r="AZ20" s="176"/>
      <c r="BA20" s="174"/>
      <c r="BB20" s="180"/>
      <c r="BC20" s="44">
        <f>BC19*3</f>
        <v>61.14333333333333</v>
      </c>
      <c r="BD20" s="173"/>
      <c r="BE20" s="260"/>
      <c r="BF20" s="22"/>
      <c r="BG20" s="236"/>
      <c r="BH20" s="236"/>
      <c r="BI20" s="22"/>
      <c r="BJ20" s="22"/>
      <c r="BK20" s="164"/>
      <c r="BL20" s="165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65"/>
    </row>
    <row r="21" spans="1:80" ht="18" customHeight="1" thickBot="1" thickTop="1">
      <c r="A21" s="257"/>
      <c r="B21" s="86"/>
      <c r="C21" s="170"/>
      <c r="D21" s="170"/>
      <c r="E21" s="171"/>
      <c r="F21" s="47">
        <v>18</v>
      </c>
      <c r="G21" s="48"/>
      <c r="H21" s="49"/>
      <c r="I21" s="47">
        <v>26</v>
      </c>
      <c r="J21" s="48"/>
      <c r="K21" s="49"/>
      <c r="L21" s="47">
        <v>27</v>
      </c>
      <c r="M21" s="48">
        <v>30</v>
      </c>
      <c r="N21" s="49">
        <v>27</v>
      </c>
      <c r="O21" s="47"/>
      <c r="P21" s="48"/>
      <c r="Q21" s="49"/>
      <c r="R21" s="45"/>
      <c r="S21" s="46"/>
      <c r="T21" s="53"/>
      <c r="U21" s="47"/>
      <c r="V21" s="48"/>
      <c r="W21" s="49"/>
      <c r="X21" s="47">
        <v>31</v>
      </c>
      <c r="Y21" s="48">
        <v>23</v>
      </c>
      <c r="Z21" s="49">
        <v>29</v>
      </c>
      <c r="AA21" s="47">
        <v>27</v>
      </c>
      <c r="AB21" s="48">
        <v>30</v>
      </c>
      <c r="AC21" s="49">
        <v>28</v>
      </c>
      <c r="AD21" s="47">
        <v>24</v>
      </c>
      <c r="AE21" s="48">
        <v>21</v>
      </c>
      <c r="AF21" s="49">
        <v>25</v>
      </c>
      <c r="AG21" s="47">
        <v>23</v>
      </c>
      <c r="AH21" s="48">
        <v>26</v>
      </c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203"/>
      <c r="AW21" s="178">
        <f>AW19-AY19</f>
        <v>-1</v>
      </c>
      <c r="AX21" s="178"/>
      <c r="AY21" s="178"/>
      <c r="AZ21" s="177"/>
      <c r="BA21" s="174"/>
      <c r="BB21" s="180"/>
      <c r="BC21" s="50">
        <f>AVERAGE(F21:AU21)</f>
        <v>25.9375</v>
      </c>
      <c r="BD21" s="173"/>
      <c r="BE21" s="261"/>
      <c r="BF21" s="22"/>
      <c r="BG21" s="236"/>
      <c r="BH21" s="236"/>
      <c r="BI21" s="22"/>
      <c r="BJ21" s="22"/>
      <c r="BK21" s="164"/>
      <c r="BL21" s="165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65"/>
    </row>
    <row r="22" spans="1:80" ht="18" customHeight="1" thickBot="1" thickTop="1">
      <c r="A22" s="255">
        <f>VLOOKUP(C22,Исходник!$A$3:$L$44,12,FALSE)</f>
        <v>21</v>
      </c>
      <c r="B22" s="84"/>
      <c r="C22" s="166" t="str">
        <f>VLOOKUP(B23,Исходник!$Q$3:$AY$44,35,FALSE)</f>
        <v>Борисов Андрей
СФДМ, Москва</v>
      </c>
      <c r="D22" s="166"/>
      <c r="E22" s="167"/>
      <c r="F22" s="38"/>
      <c r="G22" s="188">
        <v>17</v>
      </c>
      <c r="H22" s="189"/>
      <c r="I22" s="38"/>
      <c r="J22" s="188">
        <v>24.47</v>
      </c>
      <c r="K22" s="189"/>
      <c r="L22" s="38"/>
      <c r="M22" s="188">
        <v>19.83</v>
      </c>
      <c r="N22" s="189"/>
      <c r="O22" s="38"/>
      <c r="P22" s="188">
        <v>19.08</v>
      </c>
      <c r="Q22" s="189"/>
      <c r="R22" s="38"/>
      <c r="S22" s="188">
        <v>21.17</v>
      </c>
      <c r="T22" s="189"/>
      <c r="U22" s="26"/>
      <c r="V22" s="211"/>
      <c r="W22" s="212"/>
      <c r="X22" s="38"/>
      <c r="Y22" s="188">
        <v>19.09</v>
      </c>
      <c r="Z22" s="189"/>
      <c r="AA22" s="38"/>
      <c r="AB22" s="188">
        <v>21.47</v>
      </c>
      <c r="AC22" s="189"/>
      <c r="AD22" s="38"/>
      <c r="AE22" s="188">
        <v>22.44</v>
      </c>
      <c r="AF22" s="189"/>
      <c r="AG22" s="38">
        <v>2</v>
      </c>
      <c r="AH22" s="188">
        <v>23.43</v>
      </c>
      <c r="AI22" s="189"/>
      <c r="AJ22" s="38"/>
      <c r="AK22" s="188"/>
      <c r="AL22" s="189"/>
      <c r="AM22" s="38"/>
      <c r="AN22" s="188"/>
      <c r="AO22" s="189"/>
      <c r="AP22" s="38"/>
      <c r="AQ22" s="188"/>
      <c r="AR22" s="189"/>
      <c r="AS22" s="38"/>
      <c r="AT22" s="188"/>
      <c r="AU22" s="189"/>
      <c r="AV22" s="201">
        <f>COUNTIF(F23:AU23,"в")</f>
        <v>4</v>
      </c>
      <c r="AW22" s="179">
        <f>F23+I23+L23+O23+R23+U23+X23+AA23+AD23+AG23+AJ23+AM23+AP23+AS23</f>
        <v>16</v>
      </c>
      <c r="AX22" s="184" t="s">
        <v>2</v>
      </c>
      <c r="AY22" s="183">
        <f>AU23+AR23+AO23+AL23+AI23+AF23+AC23+Z23+W23+T23+Q23+N23+K23+H23</f>
        <v>19</v>
      </c>
      <c r="AZ22" s="175">
        <f>IF(BL22=0,0,RANK(BL22,$BL$7:$BL$48,0))</f>
        <v>6</v>
      </c>
      <c r="BA22" s="174">
        <f>IF(BL22=0,0,VLOOKUP(AZ22,$BG$7:$BH$48,2,FALSE))</f>
        <v>15</v>
      </c>
      <c r="BB22" s="180">
        <f>A22+BA22</f>
        <v>36</v>
      </c>
      <c r="BC22" s="39">
        <f>AVERAGE(G22,J22,M22,P22,S22,V22,Y22,AB22,AE22,AH22,AK22,AN22,AQ22,AT22)</f>
        <v>20.88666666666667</v>
      </c>
      <c r="BD22" s="172">
        <f>F22+AS22+AP22+AM22+AJ22+AG22+AD22+AA22+X22+U22+R22+O22+L22+I22</f>
        <v>2</v>
      </c>
      <c r="BE22" s="259">
        <v>100</v>
      </c>
      <c r="BF22" s="22"/>
      <c r="BG22" s="236">
        <v>6</v>
      </c>
      <c r="BH22" s="236">
        <v>15</v>
      </c>
      <c r="BI22" s="22"/>
      <c r="BJ22" s="22"/>
      <c r="BK22" s="164">
        <f>IF((AV22+AW24*0.001)=0,0,AV22+AW24*0.001+1)</f>
        <v>4.997</v>
      </c>
      <c r="BL22" s="165">
        <f>BK22+CB22*0.0001</f>
        <v>4.99711</v>
      </c>
      <c r="BM22" s="88"/>
      <c r="BN22" s="89">
        <f>IF(U23&gt;W23,1,0)+(U23-W23)*0.1</f>
        <v>0</v>
      </c>
      <c r="BO22" s="90">
        <f>IF(X23&gt;Z23,1,0)+(X23-Z23)*0.1</f>
        <v>-0.2</v>
      </c>
      <c r="BP22" s="90">
        <f>IF(AA23&gt;AC23,1,0)+(AA23-AC23)*0.1</f>
        <v>1.3</v>
      </c>
      <c r="BQ22" s="90">
        <f>IF(AD23&gt;AF23,1,0)+(AD23-AF23)*0.1</f>
        <v>1.1</v>
      </c>
      <c r="BR22" s="90">
        <f>IF(AG23&gt;AI23,1,0)+(AG23-AI23)*0.1</f>
        <v>1.1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-0.30000000000000004</v>
      </c>
      <c r="BX22" s="90">
        <f>IF(I23&gt;K23,1,0)+(I23-K23)*0.1</f>
        <v>-0.2</v>
      </c>
      <c r="BY22" s="90">
        <f>IF(L23&gt;N23,1,0)+(L23-N23)*0.1</f>
        <v>-0.1</v>
      </c>
      <c r="BZ22" s="90">
        <f>IF(O23&gt;Q23,1,0)+(O23-Q23)*0.1</f>
        <v>-0.30000000000000004</v>
      </c>
      <c r="CA22" s="90">
        <f>IF(R23&gt;T23,1,0)+(R23-T23)*0.1</f>
        <v>1.3</v>
      </c>
      <c r="CB22" s="165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1.1</v>
      </c>
    </row>
    <row r="23" spans="1:80" ht="18" customHeight="1" thickBot="1" thickTop="1">
      <c r="A23" s="256"/>
      <c r="B23" s="85">
        <v>6</v>
      </c>
      <c r="C23" s="168"/>
      <c r="D23" s="168"/>
      <c r="E23" s="169"/>
      <c r="F23" s="42">
        <f>W8</f>
        <v>0</v>
      </c>
      <c r="G23" s="122">
        <f>IF(F23&gt;H23,"в","")</f>
      </c>
      <c r="H23" s="43">
        <f>U8</f>
        <v>3</v>
      </c>
      <c r="I23" s="42">
        <f>W11</f>
        <v>1</v>
      </c>
      <c r="J23" s="122">
        <f>IF(I23&gt;K23,"в","")</f>
      </c>
      <c r="K23" s="43">
        <f>U11</f>
        <v>3</v>
      </c>
      <c r="L23" s="42">
        <f>W14</f>
        <v>2</v>
      </c>
      <c r="M23" s="122">
        <f>IF(L23&gt;N23,"в","")</f>
      </c>
      <c r="N23" s="43">
        <f>U14</f>
        <v>3</v>
      </c>
      <c r="O23" s="42">
        <f>W17</f>
        <v>0</v>
      </c>
      <c r="P23" s="122">
        <f>IF(O23&gt;Q23,"в","")</f>
      </c>
      <c r="Q23" s="43">
        <f>U17</f>
        <v>3</v>
      </c>
      <c r="R23" s="42">
        <f>W20</f>
        <v>3</v>
      </c>
      <c r="S23" s="120" t="str">
        <f>IF(R23&gt;T23,"в","")</f>
        <v>в</v>
      </c>
      <c r="T23" s="43">
        <f>U20</f>
        <v>0</v>
      </c>
      <c r="U23" s="40"/>
      <c r="V23" s="28">
        <v>6</v>
      </c>
      <c r="W23" s="52"/>
      <c r="X23" s="42">
        <v>1</v>
      </c>
      <c r="Y23" s="122">
        <f>IF(X23&gt;Z23,"в","")</f>
      </c>
      <c r="Z23" s="43">
        <v>3</v>
      </c>
      <c r="AA23" s="42">
        <v>3</v>
      </c>
      <c r="AB23" s="120" t="str">
        <f>IF(AA23&gt;AC23,"в","")</f>
        <v>в</v>
      </c>
      <c r="AC23" s="43">
        <v>0</v>
      </c>
      <c r="AD23" s="42">
        <v>3</v>
      </c>
      <c r="AE23" s="120" t="str">
        <f>IF(AD23&gt;AF23,"в","")</f>
        <v>в</v>
      </c>
      <c r="AF23" s="43">
        <v>2</v>
      </c>
      <c r="AG23" s="42">
        <v>3</v>
      </c>
      <c r="AH23" s="120" t="str">
        <f>IF(AG23&gt;AI23,"в","")</f>
        <v>в</v>
      </c>
      <c r="AI23" s="43">
        <v>2</v>
      </c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202"/>
      <c r="AW23" s="179"/>
      <c r="AX23" s="184"/>
      <c r="AY23" s="183"/>
      <c r="AZ23" s="176"/>
      <c r="BA23" s="174"/>
      <c r="BB23" s="180"/>
      <c r="BC23" s="44">
        <f>BC22*3</f>
        <v>62.66000000000001</v>
      </c>
      <c r="BD23" s="173"/>
      <c r="BE23" s="260"/>
      <c r="BF23" s="22"/>
      <c r="BG23" s="236"/>
      <c r="BH23" s="236"/>
      <c r="BI23" s="22"/>
      <c r="BJ23" s="22"/>
      <c r="BK23" s="164"/>
      <c r="BL23" s="165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65"/>
    </row>
    <row r="24" spans="1:80" ht="18" customHeight="1" thickBot="1" thickTop="1">
      <c r="A24" s="257"/>
      <c r="B24" s="86"/>
      <c r="C24" s="170"/>
      <c r="D24" s="170"/>
      <c r="E24" s="171"/>
      <c r="F24" s="47"/>
      <c r="G24" s="48"/>
      <c r="H24" s="49"/>
      <c r="I24" s="47">
        <v>21</v>
      </c>
      <c r="J24" s="48"/>
      <c r="K24" s="49"/>
      <c r="L24" s="47">
        <v>22</v>
      </c>
      <c r="M24" s="48">
        <v>21</v>
      </c>
      <c r="N24" s="49"/>
      <c r="O24" s="47"/>
      <c r="P24" s="48"/>
      <c r="Q24" s="49"/>
      <c r="R24" s="47">
        <v>24</v>
      </c>
      <c r="S24" s="48">
        <v>29</v>
      </c>
      <c r="T24" s="49">
        <v>18</v>
      </c>
      <c r="U24" s="45"/>
      <c r="V24" s="46"/>
      <c r="W24" s="53"/>
      <c r="X24" s="47">
        <v>18</v>
      </c>
      <c r="Y24" s="48"/>
      <c r="Z24" s="49"/>
      <c r="AA24" s="47">
        <v>22</v>
      </c>
      <c r="AB24" s="48">
        <v>25</v>
      </c>
      <c r="AC24" s="49">
        <v>23</v>
      </c>
      <c r="AD24" s="47">
        <v>23</v>
      </c>
      <c r="AE24" s="48">
        <v>19</v>
      </c>
      <c r="AF24" s="49">
        <v>18</v>
      </c>
      <c r="AG24" s="47">
        <v>17</v>
      </c>
      <c r="AH24" s="48">
        <v>18</v>
      </c>
      <c r="AI24" s="49">
        <v>27</v>
      </c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203"/>
      <c r="AW24" s="178">
        <f>AW22-AY22</f>
        <v>-3</v>
      </c>
      <c r="AX24" s="178"/>
      <c r="AY24" s="178"/>
      <c r="AZ24" s="177"/>
      <c r="BA24" s="174"/>
      <c r="BB24" s="180"/>
      <c r="BC24" s="50">
        <f>AVERAGE(F24:AU24)</f>
        <v>21.5625</v>
      </c>
      <c r="BD24" s="173"/>
      <c r="BE24" s="261"/>
      <c r="BF24" s="22"/>
      <c r="BG24" s="236"/>
      <c r="BH24" s="236"/>
      <c r="BI24" s="22"/>
      <c r="BJ24" s="22"/>
      <c r="BK24" s="164"/>
      <c r="BL24" s="165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65"/>
    </row>
    <row r="25" spans="1:80" ht="18" customHeight="1" thickBot="1" thickTop="1">
      <c r="A25" s="255">
        <f>VLOOKUP(C25,Исходник!$A$3:$L$44,12,FALSE)</f>
        <v>14</v>
      </c>
      <c r="B25" s="84"/>
      <c r="C25" s="166" t="str">
        <f>VLOOKUP(B26,Исходник!$Q$3:$AY$44,35,FALSE)</f>
        <v>Конюхов Александр
СФДМ, Москва</v>
      </c>
      <c r="D25" s="166"/>
      <c r="E25" s="167"/>
      <c r="F25" s="38"/>
      <c r="G25" s="188">
        <v>16.4</v>
      </c>
      <c r="H25" s="189"/>
      <c r="I25" s="38"/>
      <c r="J25" s="188">
        <v>15.24</v>
      </c>
      <c r="K25" s="189"/>
      <c r="L25" s="38"/>
      <c r="M25" s="188">
        <v>20.11</v>
      </c>
      <c r="N25" s="189"/>
      <c r="O25" s="38"/>
      <c r="P25" s="188">
        <v>18.32</v>
      </c>
      <c r="Q25" s="189"/>
      <c r="R25" s="38"/>
      <c r="S25" s="188">
        <v>18.31</v>
      </c>
      <c r="T25" s="189"/>
      <c r="U25" s="38"/>
      <c r="V25" s="188">
        <v>18.66</v>
      </c>
      <c r="W25" s="189"/>
      <c r="X25" s="26"/>
      <c r="Y25" s="211"/>
      <c r="Z25" s="212"/>
      <c r="AA25" s="38"/>
      <c r="AB25" s="188">
        <v>17.68</v>
      </c>
      <c r="AC25" s="189"/>
      <c r="AD25" s="38"/>
      <c r="AE25" s="188">
        <v>19.43</v>
      </c>
      <c r="AF25" s="189"/>
      <c r="AG25" s="38"/>
      <c r="AH25" s="188">
        <v>16</v>
      </c>
      <c r="AI25" s="189"/>
      <c r="AJ25" s="38"/>
      <c r="AK25" s="188"/>
      <c r="AL25" s="189"/>
      <c r="AM25" s="38"/>
      <c r="AN25" s="188"/>
      <c r="AO25" s="189"/>
      <c r="AP25" s="38"/>
      <c r="AQ25" s="188"/>
      <c r="AR25" s="189"/>
      <c r="AS25" s="38"/>
      <c r="AT25" s="188"/>
      <c r="AU25" s="189"/>
      <c r="AV25" s="201">
        <f>COUNTIF(F26:AU26,"в")</f>
        <v>3</v>
      </c>
      <c r="AW25" s="179">
        <f>F26+I26+L26+O26+R26+U26+X26+AA26+AD26+AG26+AJ26+AM26+AP26+AS26</f>
        <v>12</v>
      </c>
      <c r="AX25" s="184" t="s">
        <v>2</v>
      </c>
      <c r="AY25" s="183">
        <f>AU26+AR26+AO26+AL26+AI26+AF26+AC26+Z26+W26+T26+Q26+N26+K26+H26</f>
        <v>20</v>
      </c>
      <c r="AZ25" s="175">
        <f>IF(BL25=0,0,RANK(BL25,$BL$7:$BL$48,0))</f>
        <v>9</v>
      </c>
      <c r="BA25" s="174">
        <f>IF(BL25=0,0,VLOOKUP(AZ25,$BG$7:$BH$48,2,FALSE))</f>
        <v>9</v>
      </c>
      <c r="BB25" s="180">
        <f>A25+BA25</f>
        <v>23</v>
      </c>
      <c r="BC25" s="39">
        <f>AVERAGE(G25,J25,M25,P25,S25,V25,Y25,AB25,AE25,AH25,AK25,AN25,AQ25,AT25)</f>
        <v>17.794444444444444</v>
      </c>
      <c r="BD25" s="172">
        <f>F25+AS25+AP25+AM25+AJ25+AG25+AD25+AA25+X25+U25+R25+O25+L25+I25</f>
        <v>0</v>
      </c>
      <c r="BE25" s="262"/>
      <c r="BF25" s="22"/>
      <c r="BG25" s="236">
        <v>7</v>
      </c>
      <c r="BH25" s="236">
        <v>13</v>
      </c>
      <c r="BI25" s="22"/>
      <c r="BJ25" s="22"/>
      <c r="BK25" s="164">
        <f>IF((AV25+AW27*0.001)=0,0,AV25+AW27*0.001+1)</f>
        <v>3.992</v>
      </c>
      <c r="BL25" s="165">
        <f>BK25+CB25*0.0001</f>
        <v>3.992</v>
      </c>
      <c r="BM25" s="88"/>
      <c r="BN25" s="89">
        <f>IF(X26&gt;Z26,1,0)+(X26-Z26)*0.1</f>
        <v>0</v>
      </c>
      <c r="BO25" s="90">
        <f>IF(AA26&gt;AC26,1,0)+(AA26-AC26)*0.1</f>
        <v>1.3</v>
      </c>
      <c r="BP25" s="90">
        <f>IF(AD26&gt;AF26,1,0)+(AD26-AF26)*0.1</f>
        <v>1.2</v>
      </c>
      <c r="BQ25" s="90">
        <f>IF(AG26&gt;AI26,1,0)+(AG26-AI26)*0.1</f>
        <v>-0.2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-0.30000000000000004</v>
      </c>
      <c r="BW25" s="90">
        <f>IF(I26&gt;K26,1,0)+(I26-K26)*0.1</f>
        <v>-0.30000000000000004</v>
      </c>
      <c r="BX25" s="90">
        <f>IF(L26&gt;N26,1,0)+(L26-N26)*0.1</f>
        <v>-0.2</v>
      </c>
      <c r="BY25" s="90">
        <f>IF(O26&gt;Q26,1,0)+(O26-Q26)*0.1</f>
        <v>-0.30000000000000004</v>
      </c>
      <c r="BZ25" s="90">
        <f>IF(R26&gt;T26,1,0)+(R26-T26)*0.1</f>
        <v>-0.2</v>
      </c>
      <c r="CA25" s="90">
        <f>IF(U26&gt;W26,1,0)+(U26-W26)*0.1</f>
        <v>1.2</v>
      </c>
      <c r="CB25" s="165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56"/>
      <c r="B26" s="85">
        <v>7</v>
      </c>
      <c r="C26" s="168"/>
      <c r="D26" s="168"/>
      <c r="E26" s="169"/>
      <c r="F26" s="42">
        <f>Z8</f>
        <v>0</v>
      </c>
      <c r="G26" s="122">
        <f>IF(F26&gt;H26,"в","")</f>
      </c>
      <c r="H26" s="43">
        <f>X8</f>
        <v>3</v>
      </c>
      <c r="I26" s="42">
        <f>Z11</f>
        <v>0</v>
      </c>
      <c r="J26" s="122">
        <f>IF(I26&gt;K26,"в","")</f>
      </c>
      <c r="K26" s="43">
        <f>X11</f>
        <v>3</v>
      </c>
      <c r="L26" s="42">
        <f>Z14</f>
        <v>1</v>
      </c>
      <c r="M26" s="122">
        <f>IF(L26&gt;N26,"в","")</f>
      </c>
      <c r="N26" s="43">
        <f>X14</f>
        <v>3</v>
      </c>
      <c r="O26" s="42">
        <f>Z17</f>
        <v>0</v>
      </c>
      <c r="P26" s="122">
        <f>IF(O26&gt;Q26,"в","")</f>
      </c>
      <c r="Q26" s="43">
        <f>X17</f>
        <v>3</v>
      </c>
      <c r="R26" s="42">
        <f>Z20</f>
        <v>1</v>
      </c>
      <c r="S26" s="122">
        <f>IF(R26&gt;T26,"в","")</f>
      </c>
      <c r="T26" s="43">
        <f>X20</f>
        <v>3</v>
      </c>
      <c r="U26" s="42">
        <f>Z23</f>
        <v>3</v>
      </c>
      <c r="V26" s="120" t="str">
        <f>IF(U26&gt;W26,"в","")</f>
        <v>в</v>
      </c>
      <c r="W26" s="43">
        <f>X23</f>
        <v>1</v>
      </c>
      <c r="X26" s="40"/>
      <c r="Y26" s="28">
        <v>7</v>
      </c>
      <c r="Z26" s="52"/>
      <c r="AA26" s="42">
        <v>3</v>
      </c>
      <c r="AB26" s="120" t="str">
        <f>IF(AA26&gt;AC26,"в","")</f>
        <v>в</v>
      </c>
      <c r="AC26" s="43">
        <v>0</v>
      </c>
      <c r="AD26" s="42">
        <v>3</v>
      </c>
      <c r="AE26" s="120" t="str">
        <f>IF(AD26&gt;AF26,"в","")</f>
        <v>в</v>
      </c>
      <c r="AF26" s="43">
        <v>1</v>
      </c>
      <c r="AG26" s="42">
        <v>1</v>
      </c>
      <c r="AH26" s="122">
        <f>IF(AG26&gt;AI26,"в","")</f>
      </c>
      <c r="AI26" s="43">
        <v>3</v>
      </c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202"/>
      <c r="AW26" s="179"/>
      <c r="AX26" s="184"/>
      <c r="AY26" s="183"/>
      <c r="AZ26" s="176"/>
      <c r="BA26" s="174"/>
      <c r="BB26" s="180"/>
      <c r="BC26" s="44">
        <f>BC25*3</f>
        <v>53.38333333333333</v>
      </c>
      <c r="BD26" s="173"/>
      <c r="BE26" s="260"/>
      <c r="BF26" s="22"/>
      <c r="BG26" s="236"/>
      <c r="BH26" s="236"/>
      <c r="BI26" s="22"/>
      <c r="BJ26" s="22"/>
      <c r="BK26" s="164"/>
      <c r="BL26" s="165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65"/>
    </row>
    <row r="27" spans="1:80" ht="18" customHeight="1" thickBot="1" thickTop="1">
      <c r="A27" s="257"/>
      <c r="B27" s="86"/>
      <c r="C27" s="170"/>
      <c r="D27" s="170"/>
      <c r="E27" s="171"/>
      <c r="F27" s="47"/>
      <c r="G27" s="48"/>
      <c r="H27" s="49"/>
      <c r="I27" s="47"/>
      <c r="J27" s="48"/>
      <c r="K27" s="49"/>
      <c r="L27" s="47">
        <v>22</v>
      </c>
      <c r="M27" s="48"/>
      <c r="N27" s="49"/>
      <c r="O27" s="47"/>
      <c r="P27" s="48"/>
      <c r="Q27" s="49"/>
      <c r="R27" s="47">
        <v>24</v>
      </c>
      <c r="S27" s="48"/>
      <c r="T27" s="49"/>
      <c r="U27" s="47">
        <v>31</v>
      </c>
      <c r="V27" s="48">
        <v>25</v>
      </c>
      <c r="W27" s="49">
        <v>24</v>
      </c>
      <c r="X27" s="45"/>
      <c r="Y27" s="46"/>
      <c r="Z27" s="53"/>
      <c r="AA27" s="47">
        <v>30</v>
      </c>
      <c r="AB27" s="48">
        <v>28</v>
      </c>
      <c r="AC27" s="49">
        <v>27</v>
      </c>
      <c r="AD27" s="47">
        <v>36</v>
      </c>
      <c r="AE27" s="48">
        <v>22</v>
      </c>
      <c r="AF27" s="49">
        <v>24</v>
      </c>
      <c r="AG27" s="47">
        <v>24</v>
      </c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203"/>
      <c r="AW27" s="178">
        <f>AW25-AY25</f>
        <v>-8</v>
      </c>
      <c r="AX27" s="178"/>
      <c r="AY27" s="178"/>
      <c r="AZ27" s="177"/>
      <c r="BA27" s="174"/>
      <c r="BB27" s="180"/>
      <c r="BC27" s="50">
        <f>AVERAGE(F27:AU27)</f>
        <v>26.416666666666668</v>
      </c>
      <c r="BD27" s="173"/>
      <c r="BE27" s="261"/>
      <c r="BF27" s="22"/>
      <c r="BG27" s="236"/>
      <c r="BH27" s="236"/>
      <c r="BI27" s="22"/>
      <c r="BJ27" s="22"/>
      <c r="BK27" s="164"/>
      <c r="BL27" s="165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65"/>
    </row>
    <row r="28" spans="1:80" ht="18" customHeight="1" thickBot="1" thickTop="1">
      <c r="A28" s="255">
        <f>VLOOKUP(C28,Исходник!$A$3:$L$44,12,FALSE)</f>
        <v>12</v>
      </c>
      <c r="B28" s="84"/>
      <c r="C28" s="166" t="str">
        <f>VLOOKUP(B29,Исходник!$Q$3:$AY$44,35,FALSE)</f>
        <v>Клочек Ксения
СФДМ, Москва</v>
      </c>
      <c r="D28" s="166"/>
      <c r="E28" s="167"/>
      <c r="F28" s="51"/>
      <c r="G28" s="188">
        <v>18.15</v>
      </c>
      <c r="H28" s="189"/>
      <c r="I28" s="38"/>
      <c r="J28" s="188">
        <v>17</v>
      </c>
      <c r="K28" s="189"/>
      <c r="L28" s="38"/>
      <c r="M28" s="188">
        <v>18.22</v>
      </c>
      <c r="N28" s="189"/>
      <c r="O28" s="38"/>
      <c r="P28" s="188">
        <v>20.3</v>
      </c>
      <c r="Q28" s="189"/>
      <c r="R28" s="51"/>
      <c r="S28" s="188">
        <v>17.41</v>
      </c>
      <c r="T28" s="189"/>
      <c r="U28" s="38"/>
      <c r="V28" s="188">
        <v>18.01</v>
      </c>
      <c r="W28" s="189"/>
      <c r="X28" s="38"/>
      <c r="Y28" s="188">
        <v>16.54</v>
      </c>
      <c r="Z28" s="189"/>
      <c r="AA28" s="26"/>
      <c r="AB28" s="211"/>
      <c r="AC28" s="212"/>
      <c r="AD28" s="38"/>
      <c r="AE28" s="188">
        <v>17.66</v>
      </c>
      <c r="AF28" s="189"/>
      <c r="AG28" s="38"/>
      <c r="AH28" s="188">
        <v>18.23</v>
      </c>
      <c r="AI28" s="189"/>
      <c r="AJ28" s="38"/>
      <c r="AK28" s="188"/>
      <c r="AL28" s="189"/>
      <c r="AM28" s="38"/>
      <c r="AN28" s="188"/>
      <c r="AO28" s="189"/>
      <c r="AP28" s="38"/>
      <c r="AQ28" s="188"/>
      <c r="AR28" s="189"/>
      <c r="AS28" s="38"/>
      <c r="AT28" s="188"/>
      <c r="AU28" s="189"/>
      <c r="AV28" s="201">
        <f>COUNTIF(F29:AU29,"в")</f>
        <v>0</v>
      </c>
      <c r="AW28" s="179">
        <f>F29+I29+L29+O29+R29+U29+X29+AA29+AD29+AG29+AJ29+AM29+AP29+AS29</f>
        <v>2</v>
      </c>
      <c r="AX28" s="184" t="s">
        <v>2</v>
      </c>
      <c r="AY28" s="183">
        <f>AU29+AR29+AO29+AL29+AI29+AF29+AC29+Z29+W29+T29+Q29+N29+K29+H29</f>
        <v>27</v>
      </c>
      <c r="AZ28" s="175">
        <f>IF(BL28=0,0,RANK(BL28,$BL$7:$BL$48,0))</f>
        <v>10</v>
      </c>
      <c r="BA28" s="174">
        <f>IF(BL28=0,0,VLOOKUP(AZ28,$BG$7:$BH$48,2,FALSE))</f>
        <v>8</v>
      </c>
      <c r="BB28" s="180">
        <f>A28+BA28</f>
        <v>20</v>
      </c>
      <c r="BC28" s="39">
        <f>AVERAGE(G28,J28,M28,P28,S28,V28,Y28,AB28,AE28,AH28,AK28,AN28,AQ28,AT28)</f>
        <v>17.946666666666665</v>
      </c>
      <c r="BD28" s="172">
        <f>F28+AS28+AP28+AM28+AJ28+AG28+AD28+AA28+X28+U28+R28+O28+L28+I28</f>
        <v>0</v>
      </c>
      <c r="BE28" s="262"/>
      <c r="BF28" s="22"/>
      <c r="BG28" s="236">
        <v>8</v>
      </c>
      <c r="BH28" s="236">
        <v>12</v>
      </c>
      <c r="BI28" s="22"/>
      <c r="BJ28" s="22"/>
      <c r="BK28" s="164">
        <f>IF((AV28+AW30*0.001)=0,0,AV28+AW30*0.001+1)</f>
        <v>0.975</v>
      </c>
      <c r="BL28" s="165">
        <f>BK28+CB28*0.0001</f>
        <v>0.975</v>
      </c>
      <c r="BM28" s="88"/>
      <c r="BN28" s="89">
        <f>IF(AA29&gt;AC29,1,0)+(AA29-AC29)*0.1</f>
        <v>0</v>
      </c>
      <c r="BO28" s="90">
        <f>IF(AD29&gt;AF29,1,0)+(AD29-AF29)*0.1</f>
        <v>-0.30000000000000004</v>
      </c>
      <c r="BP28" s="90">
        <f>IF(AG29&gt;AI29,1,0)+(AG29-AI29)*0.1</f>
        <v>-0.2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-0.30000000000000004</v>
      </c>
      <c r="BV28" s="90">
        <f>IF(I29&gt;K29,1,0)+(I29-K29)*0.1</f>
        <v>-0.2</v>
      </c>
      <c r="BW28" s="90">
        <f>IF(L29&gt;N29,1,0)+(L29-N29)*0.1</f>
        <v>-0.30000000000000004</v>
      </c>
      <c r="BX28" s="90">
        <f>IF(O29&gt;Q29,1,0)+(O29-Q29)*0.1</f>
        <v>-0.30000000000000004</v>
      </c>
      <c r="BY28" s="90">
        <f>IF(R29&gt;T29,1,0)+(R29-T29)*0.1</f>
        <v>-0.30000000000000004</v>
      </c>
      <c r="BZ28" s="90">
        <f>IF(U29&gt;W29,1,0)+(U29-W29)*0.1</f>
        <v>-0.30000000000000004</v>
      </c>
      <c r="CA28" s="90">
        <f>IF(X29&gt;Z29,1,0)+(X29-Z29)*0.1</f>
        <v>-0.30000000000000004</v>
      </c>
      <c r="CB28" s="165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56"/>
      <c r="B29" s="85">
        <v>8</v>
      </c>
      <c r="C29" s="168"/>
      <c r="D29" s="168"/>
      <c r="E29" s="169"/>
      <c r="F29" s="42">
        <f>AC8</f>
        <v>0</v>
      </c>
      <c r="G29" s="122">
        <f>IF(F29&gt;H29,"в","")</f>
      </c>
      <c r="H29" s="43">
        <f>AA8</f>
        <v>3</v>
      </c>
      <c r="I29" s="42">
        <f>AC11</f>
        <v>1</v>
      </c>
      <c r="J29" s="122">
        <f>IF(I29&gt;K29,"в","")</f>
      </c>
      <c r="K29" s="43">
        <f>AA11</f>
        <v>3</v>
      </c>
      <c r="L29" s="42">
        <f>AC14</f>
        <v>0</v>
      </c>
      <c r="M29" s="122">
        <f>IF(L29&gt;N29,"в","")</f>
      </c>
      <c r="N29" s="43">
        <f>AA14</f>
        <v>3</v>
      </c>
      <c r="O29" s="42">
        <f>AC17</f>
        <v>0</v>
      </c>
      <c r="P29" s="122">
        <f>IF(O29&gt;Q29,"в","")</f>
      </c>
      <c r="Q29" s="43">
        <f>AA17</f>
        <v>3</v>
      </c>
      <c r="R29" s="42">
        <f>AC20</f>
        <v>0</v>
      </c>
      <c r="S29" s="122">
        <f>IF(R29&gt;T29,"в","")</f>
      </c>
      <c r="T29" s="43">
        <f>AA20</f>
        <v>3</v>
      </c>
      <c r="U29" s="42">
        <f>AC23</f>
        <v>0</v>
      </c>
      <c r="V29" s="122">
        <f>IF(U29&gt;W29,"в","")</f>
      </c>
      <c r="W29" s="43">
        <f>AA23</f>
        <v>3</v>
      </c>
      <c r="X29" s="42">
        <f>AC26</f>
        <v>0</v>
      </c>
      <c r="Y29" s="122">
        <f>IF(X29&gt;Z29,"в","")</f>
      </c>
      <c r="Z29" s="43">
        <f>AA26</f>
        <v>3</v>
      </c>
      <c r="AA29" s="40"/>
      <c r="AB29" s="28">
        <v>8</v>
      </c>
      <c r="AC29" s="52"/>
      <c r="AD29" s="42">
        <v>0</v>
      </c>
      <c r="AE29" s="122">
        <f>IF(AD29&gt;AF29,"в","")</f>
      </c>
      <c r="AF29" s="43">
        <v>3</v>
      </c>
      <c r="AG29" s="42">
        <v>1</v>
      </c>
      <c r="AH29" s="122">
        <f>IF(AG29&gt;AI29,"в","")</f>
      </c>
      <c r="AI29" s="43">
        <v>3</v>
      </c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202"/>
      <c r="AW29" s="179"/>
      <c r="AX29" s="184"/>
      <c r="AY29" s="183"/>
      <c r="AZ29" s="176"/>
      <c r="BA29" s="174"/>
      <c r="BB29" s="180"/>
      <c r="BC29" s="44">
        <f>BC28*3</f>
        <v>53.839999999999996</v>
      </c>
      <c r="BD29" s="173"/>
      <c r="BE29" s="260"/>
      <c r="BF29" s="22"/>
      <c r="BG29" s="236"/>
      <c r="BH29" s="236"/>
      <c r="BI29" s="22"/>
      <c r="BJ29" s="22"/>
      <c r="BK29" s="164"/>
      <c r="BL29" s="165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65"/>
    </row>
    <row r="30" spans="1:80" ht="18" customHeight="1" thickBot="1" thickTop="1">
      <c r="A30" s="257"/>
      <c r="B30" s="86"/>
      <c r="C30" s="170"/>
      <c r="D30" s="170"/>
      <c r="E30" s="171"/>
      <c r="F30" s="47"/>
      <c r="G30" s="48"/>
      <c r="H30" s="49"/>
      <c r="I30" s="47">
        <v>28</v>
      </c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203"/>
      <c r="AW30" s="178">
        <f>AW28-AY28</f>
        <v>-25</v>
      </c>
      <c r="AX30" s="178"/>
      <c r="AY30" s="178"/>
      <c r="AZ30" s="177"/>
      <c r="BA30" s="174"/>
      <c r="BB30" s="180"/>
      <c r="BC30" s="50">
        <f>AVERAGE(F30:AU30)</f>
        <v>28</v>
      </c>
      <c r="BD30" s="173"/>
      <c r="BE30" s="261"/>
      <c r="BF30" s="22"/>
      <c r="BG30" s="236"/>
      <c r="BH30" s="236"/>
      <c r="BI30" s="22"/>
      <c r="BJ30" s="22"/>
      <c r="BK30" s="164"/>
      <c r="BL30" s="165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65"/>
    </row>
    <row r="31" spans="1:80" ht="18" customHeight="1" thickBot="1" thickTop="1">
      <c r="A31" s="255">
        <f>VLOOKUP(C31,Исходник!$A$3:$L$44,12,FALSE)</f>
        <v>7</v>
      </c>
      <c r="B31" s="84"/>
      <c r="C31" s="166" t="str">
        <f>VLOOKUP(B32,Исходник!$Q$3:$AY$44,35,FALSE)</f>
        <v>Сердюк Владимир
СФДМ, Москва</v>
      </c>
      <c r="D31" s="166"/>
      <c r="E31" s="167"/>
      <c r="F31" s="38">
        <v>1</v>
      </c>
      <c r="G31" s="188">
        <v>17.74</v>
      </c>
      <c r="H31" s="189"/>
      <c r="I31" s="38"/>
      <c r="J31" s="188">
        <v>18.93</v>
      </c>
      <c r="K31" s="189"/>
      <c r="L31" s="38"/>
      <c r="M31" s="188">
        <v>21.18</v>
      </c>
      <c r="N31" s="189"/>
      <c r="O31" s="38"/>
      <c r="P31" s="188">
        <v>19.63</v>
      </c>
      <c r="Q31" s="189"/>
      <c r="R31" s="38"/>
      <c r="S31" s="188">
        <v>19.26</v>
      </c>
      <c r="T31" s="189"/>
      <c r="U31" s="38"/>
      <c r="V31" s="188">
        <v>22.44</v>
      </c>
      <c r="W31" s="189"/>
      <c r="X31" s="38"/>
      <c r="Y31" s="188">
        <v>15.88</v>
      </c>
      <c r="Z31" s="189"/>
      <c r="AA31" s="38"/>
      <c r="AB31" s="188">
        <v>21.47</v>
      </c>
      <c r="AC31" s="189"/>
      <c r="AD31" s="26"/>
      <c r="AE31" s="211"/>
      <c r="AF31" s="212"/>
      <c r="AG31" s="38">
        <v>1</v>
      </c>
      <c r="AH31" s="188">
        <v>21.76</v>
      </c>
      <c r="AI31" s="189"/>
      <c r="AJ31" s="38"/>
      <c r="AK31" s="188"/>
      <c r="AL31" s="189"/>
      <c r="AM31" s="38"/>
      <c r="AN31" s="188"/>
      <c r="AO31" s="189"/>
      <c r="AP31" s="38"/>
      <c r="AQ31" s="188"/>
      <c r="AR31" s="189"/>
      <c r="AS31" s="38"/>
      <c r="AT31" s="188"/>
      <c r="AU31" s="189"/>
      <c r="AV31" s="201">
        <f>COUNTIF(F32:AU32,"в")</f>
        <v>3</v>
      </c>
      <c r="AW31" s="179">
        <f>F32+I32+L32+O32+R32+U32+X32+AA32+AD32+AG32+AJ32+AM32+AP32+AS32</f>
        <v>13</v>
      </c>
      <c r="AX31" s="184" t="s">
        <v>2</v>
      </c>
      <c r="AY31" s="183">
        <f>AU32+AR32+AO32+AL32+AI32+AF32+AC32+Z32+W32+T32+Q32+N32+K32+H32</f>
        <v>20</v>
      </c>
      <c r="AZ31" s="175">
        <f>IF(BL31=0,0,RANK(BL31,$BL$7:$BL$48,0))</f>
        <v>8</v>
      </c>
      <c r="BA31" s="174">
        <f>IF(BL31=0,0,VLOOKUP(AZ31,$BG$7:$BH$48,2,FALSE))</f>
        <v>12</v>
      </c>
      <c r="BB31" s="180">
        <f>A31+BA31</f>
        <v>19</v>
      </c>
      <c r="BC31" s="39">
        <f>AVERAGE(G31,J31,M31,P31,S31,V31,Y31,AB31,AE31,AH31,AK31,AN31,AQ31,AT31)</f>
        <v>19.81</v>
      </c>
      <c r="BD31" s="172">
        <f>F31+AS31+AP31+AM31+AJ31+AG31+AD31+AA31+X31+U31+R31+O31+L31+I31</f>
        <v>2</v>
      </c>
      <c r="BE31" s="262">
        <v>108</v>
      </c>
      <c r="BF31" s="22"/>
      <c r="BG31" s="236">
        <v>9</v>
      </c>
      <c r="BH31" s="236">
        <v>9</v>
      </c>
      <c r="BI31" s="22"/>
      <c r="BJ31" s="22"/>
      <c r="BK31" s="164">
        <f>IF((AV31+AW33*0.001)=0,0,AV31+AW33*0.001+1)</f>
        <v>3.993</v>
      </c>
      <c r="BL31" s="165">
        <f>BK31+CB31*0.0001</f>
        <v>3.993</v>
      </c>
      <c r="BM31" s="88"/>
      <c r="BN31" s="89">
        <f>IF(AD32&gt;AF32,1,0)+(AD32-AF32)*0.1</f>
        <v>0</v>
      </c>
      <c r="BO31" s="90">
        <f>IF(AG32&gt;AI32,1,0)+(AG32-AI32)*0.1</f>
        <v>1.2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-0.30000000000000004</v>
      </c>
      <c r="BU31" s="90">
        <f>IF(I32&gt;K32,1,0)+(I32-K32)*0.1</f>
        <v>-0.2</v>
      </c>
      <c r="BV31" s="90">
        <f>IF(L32&gt;N32,1,0)+(L32-N32)*0.1</f>
        <v>1.2</v>
      </c>
      <c r="BW31" s="90">
        <f>IF(O32&gt;Q32,1,0)+(O32-Q32)*0.1</f>
        <v>-0.30000000000000004</v>
      </c>
      <c r="BX31" s="90">
        <f>IF(R32&gt;T32,1,0)+(R32-T32)*0.1</f>
        <v>-0.30000000000000004</v>
      </c>
      <c r="BY31" s="90">
        <f>IF(U32&gt;W32,1,0)+(U32-W32)*0.1</f>
        <v>-0.1</v>
      </c>
      <c r="BZ31" s="90">
        <f>IF(X32&gt;Z32,1,0)+(X32-Z32)*0.1</f>
        <v>-0.2</v>
      </c>
      <c r="CA31" s="90">
        <f>IF(AA32&gt;AC32,1,0)+(AA32-AC32)*0.1</f>
        <v>1.3</v>
      </c>
      <c r="CB31" s="165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56"/>
      <c r="B32" s="85">
        <v>9</v>
      </c>
      <c r="C32" s="168"/>
      <c r="D32" s="168"/>
      <c r="E32" s="169"/>
      <c r="F32" s="42">
        <f>AF8</f>
        <v>0</v>
      </c>
      <c r="G32" s="122">
        <f>IF(F32&gt;H32,"в","")</f>
      </c>
      <c r="H32" s="43">
        <f>AD8</f>
        <v>3</v>
      </c>
      <c r="I32" s="42">
        <f>AF11</f>
        <v>1</v>
      </c>
      <c r="J32" s="122">
        <f>IF(I32&gt;K32,"в","")</f>
      </c>
      <c r="K32" s="43">
        <f>AD11</f>
        <v>3</v>
      </c>
      <c r="L32" s="42">
        <f>AF14</f>
        <v>3</v>
      </c>
      <c r="M32" s="120" t="str">
        <f>IF(L32&gt;N32,"в","")</f>
        <v>в</v>
      </c>
      <c r="N32" s="43">
        <f>AD14</f>
        <v>1</v>
      </c>
      <c r="O32" s="42">
        <f>AF17</f>
        <v>0</v>
      </c>
      <c r="P32" s="122">
        <f>IF(O32&gt;Q32,"в","")</f>
      </c>
      <c r="Q32" s="43">
        <f>AD17</f>
        <v>3</v>
      </c>
      <c r="R32" s="42">
        <f>AF20</f>
        <v>0</v>
      </c>
      <c r="S32" s="122">
        <f>IF(R32&gt;T32,"в","")</f>
      </c>
      <c r="T32" s="43">
        <f>AD20</f>
        <v>3</v>
      </c>
      <c r="U32" s="42">
        <f>AF23</f>
        <v>2</v>
      </c>
      <c r="V32" s="122">
        <f>IF(U32&gt;W32,"в","")</f>
      </c>
      <c r="W32" s="43">
        <f>AD23</f>
        <v>3</v>
      </c>
      <c r="X32" s="42">
        <f>AF26</f>
        <v>1</v>
      </c>
      <c r="Y32" s="122">
        <f>IF(X32&gt;Z32,"в","")</f>
      </c>
      <c r="Z32" s="43">
        <f>AD26</f>
        <v>3</v>
      </c>
      <c r="AA32" s="42">
        <f>AF29</f>
        <v>3</v>
      </c>
      <c r="AB32" s="120" t="str">
        <f>IF(AA32&gt;AC32,"в","")</f>
        <v>в</v>
      </c>
      <c r="AC32" s="43">
        <f>AD29</f>
        <v>0</v>
      </c>
      <c r="AD32" s="40"/>
      <c r="AE32" s="28">
        <v>9</v>
      </c>
      <c r="AF32" s="52"/>
      <c r="AG32" s="42">
        <v>3</v>
      </c>
      <c r="AH32" s="120" t="str">
        <f>IF(AG32&gt;AI32,"в","")</f>
        <v>в</v>
      </c>
      <c r="AI32" s="43">
        <v>1</v>
      </c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202"/>
      <c r="AW32" s="179"/>
      <c r="AX32" s="184"/>
      <c r="AY32" s="183"/>
      <c r="AZ32" s="176"/>
      <c r="BA32" s="174"/>
      <c r="BB32" s="180"/>
      <c r="BC32" s="44">
        <f>BC31*3</f>
        <v>59.42999999999999</v>
      </c>
      <c r="BD32" s="173"/>
      <c r="BE32" s="260"/>
      <c r="BF32" s="22"/>
      <c r="BG32" s="236"/>
      <c r="BH32" s="236"/>
      <c r="BI32" s="22"/>
      <c r="BJ32" s="22"/>
      <c r="BK32" s="164"/>
      <c r="BL32" s="165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65"/>
    </row>
    <row r="33" spans="1:80" ht="18" customHeight="1" thickBot="1" thickTop="1">
      <c r="A33" s="257"/>
      <c r="B33" s="86"/>
      <c r="C33" s="170"/>
      <c r="D33" s="170"/>
      <c r="E33" s="171"/>
      <c r="F33" s="47"/>
      <c r="G33" s="48"/>
      <c r="H33" s="49"/>
      <c r="I33" s="47">
        <v>26</v>
      </c>
      <c r="J33" s="48"/>
      <c r="K33" s="49"/>
      <c r="L33" s="47">
        <v>27</v>
      </c>
      <c r="M33" s="48">
        <v>21</v>
      </c>
      <c r="N33" s="49">
        <v>18</v>
      </c>
      <c r="O33" s="47"/>
      <c r="P33" s="48"/>
      <c r="Q33" s="49"/>
      <c r="R33" s="47"/>
      <c r="S33" s="48"/>
      <c r="T33" s="49"/>
      <c r="U33" s="47">
        <v>29</v>
      </c>
      <c r="V33" s="48">
        <v>18</v>
      </c>
      <c r="W33" s="49"/>
      <c r="X33" s="47">
        <v>24</v>
      </c>
      <c r="Y33" s="48"/>
      <c r="Z33" s="49"/>
      <c r="AA33" s="47">
        <v>24</v>
      </c>
      <c r="AB33" s="48">
        <v>24</v>
      </c>
      <c r="AC33" s="49">
        <v>22</v>
      </c>
      <c r="AD33" s="45"/>
      <c r="AE33" s="46"/>
      <c r="AF33" s="53"/>
      <c r="AG33" s="47">
        <v>22</v>
      </c>
      <c r="AH33" s="48">
        <v>24</v>
      </c>
      <c r="AI33" s="49">
        <v>19</v>
      </c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203"/>
      <c r="AW33" s="178">
        <f>AW31-AY31</f>
        <v>-7</v>
      </c>
      <c r="AX33" s="178"/>
      <c r="AY33" s="178"/>
      <c r="AZ33" s="177"/>
      <c r="BA33" s="174"/>
      <c r="BB33" s="180"/>
      <c r="BC33" s="50">
        <f>AVERAGE(F33:AU33)</f>
        <v>22.923076923076923</v>
      </c>
      <c r="BD33" s="173"/>
      <c r="BE33" s="261"/>
      <c r="BF33" s="22"/>
      <c r="BG33" s="236"/>
      <c r="BH33" s="236"/>
      <c r="BI33" s="22"/>
      <c r="BJ33" s="22"/>
      <c r="BK33" s="164"/>
      <c r="BL33" s="165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65"/>
    </row>
    <row r="34" spans="1:80" ht="18" customHeight="1" thickBot="1" thickTop="1">
      <c r="A34" s="255">
        <f>VLOOKUP(C34,Исходник!$A$3:$L$44,12,FALSE)</f>
        <v>6</v>
      </c>
      <c r="B34" s="84"/>
      <c r="C34" s="166" t="str">
        <f>VLOOKUP(B35,Исходник!$Q$3:$AY$44,35,FALSE)</f>
        <v>Ломов Аликус                      СФДМ, Москва</v>
      </c>
      <c r="D34" s="166"/>
      <c r="E34" s="167"/>
      <c r="F34" s="51"/>
      <c r="G34" s="188">
        <v>19.33</v>
      </c>
      <c r="H34" s="189"/>
      <c r="I34" s="51"/>
      <c r="J34" s="188">
        <v>21.66</v>
      </c>
      <c r="K34" s="189"/>
      <c r="L34" s="51"/>
      <c r="M34" s="188">
        <v>17.52</v>
      </c>
      <c r="N34" s="189"/>
      <c r="O34" s="38"/>
      <c r="P34" s="188">
        <v>21.58</v>
      </c>
      <c r="Q34" s="189"/>
      <c r="R34" s="38"/>
      <c r="S34" s="188">
        <v>20.07</v>
      </c>
      <c r="T34" s="189"/>
      <c r="U34" s="51"/>
      <c r="V34" s="188">
        <v>21</v>
      </c>
      <c r="W34" s="189"/>
      <c r="X34" s="38"/>
      <c r="Y34" s="188">
        <v>17.51</v>
      </c>
      <c r="Z34" s="189"/>
      <c r="AA34" s="51"/>
      <c r="AB34" s="188">
        <v>19.01</v>
      </c>
      <c r="AC34" s="189"/>
      <c r="AD34" s="51"/>
      <c r="AE34" s="188">
        <v>19</v>
      </c>
      <c r="AF34" s="189"/>
      <c r="AG34" s="26"/>
      <c r="AH34" s="211"/>
      <c r="AI34" s="212"/>
      <c r="AJ34" s="38"/>
      <c r="AK34" s="188"/>
      <c r="AL34" s="189"/>
      <c r="AM34" s="38"/>
      <c r="AN34" s="188"/>
      <c r="AO34" s="189"/>
      <c r="AP34" s="38"/>
      <c r="AQ34" s="188"/>
      <c r="AR34" s="189"/>
      <c r="AS34" s="38"/>
      <c r="AT34" s="188"/>
      <c r="AU34" s="189"/>
      <c r="AV34" s="201">
        <f>COUNTIF(F35:AU35,"в")</f>
        <v>4</v>
      </c>
      <c r="AW34" s="179">
        <f>F35+I35+L35+O35+R35+U35+X35+AA35+AD35+AG35+AJ35+AM35+AP35+AS35</f>
        <v>18</v>
      </c>
      <c r="AX34" s="184" t="s">
        <v>2</v>
      </c>
      <c r="AY34" s="183">
        <f>AU35+AR35+AO35+AL35+AI35+AF35+AC35+Z35+W35+T35+Q35+N35+K35+H35</f>
        <v>21</v>
      </c>
      <c r="AZ34" s="175">
        <f>IF(BL34=0,0,RANK(BL34,$BL$7:$BL$48,0))</f>
        <v>7</v>
      </c>
      <c r="BA34" s="174">
        <f>IF(BL34=0,0,VLOOKUP(AZ34,$BG$7:$BH$48,2,FALSE))</f>
        <v>13</v>
      </c>
      <c r="BB34" s="180">
        <f>A34+BA34</f>
        <v>19</v>
      </c>
      <c r="BC34" s="39">
        <f>AVERAGE(G34,J34,M34,P34,S34,V34,Y34,AB34,AE34,AH34,AK34,AN34,AQ34,AT34)</f>
        <v>19.63111111111111</v>
      </c>
      <c r="BD34" s="172">
        <f>F34+AS34+AP34+AM34+AJ34+AG34+AD34+AA34+X34+U34+R34+O34+L34+I34</f>
        <v>0</v>
      </c>
      <c r="BE34" s="259"/>
      <c r="BF34" s="22"/>
      <c r="BG34" s="236">
        <v>10</v>
      </c>
      <c r="BH34" s="236">
        <v>8</v>
      </c>
      <c r="BI34" s="22"/>
      <c r="BJ34" s="22"/>
      <c r="BK34" s="164">
        <f>IF((AV34+AW36*0.001)=0,0,AV34+AW36*0.001+1)</f>
        <v>4.997</v>
      </c>
      <c r="BL34" s="165">
        <f>BK34+CB34*0.0001</f>
        <v>4.99699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1.1</v>
      </c>
      <c r="BT34" s="90">
        <f>IF(I35&gt;K35,1,0)+(I35-K35)*0.1</f>
        <v>-0.2</v>
      </c>
      <c r="BU34" s="90">
        <f>IF(L35&gt;N35,1,0)+(L35-N35)*0.1</f>
        <v>-0.30000000000000004</v>
      </c>
      <c r="BV34" s="90">
        <f>IF(O35&gt;Q35,1,0)+(O35-Q35)*0.1</f>
        <v>-0.1</v>
      </c>
      <c r="BW34" s="90">
        <f>IF(R35&gt;T35,1,0)+(R35-T35)*0.1</f>
        <v>1.1</v>
      </c>
      <c r="BX34" s="90">
        <f>IF(U35&gt;W35,1,0)+(U35-W35)*0.1</f>
        <v>-0.1</v>
      </c>
      <c r="BY34" s="90">
        <f>IF(X35&gt;Z35,1,0)+(X35-Z35)*0.1</f>
        <v>1.2</v>
      </c>
      <c r="BZ34" s="90">
        <f>IF(AA35&gt;AC35,1,0)+(AA35-AC35)*0.1</f>
        <v>1.2</v>
      </c>
      <c r="CA34" s="90">
        <f>IF(AD35&gt;AF35,1,0)+(AD35-AF35)*0.1</f>
        <v>-0.2</v>
      </c>
      <c r="CB34" s="165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-0.1</v>
      </c>
    </row>
    <row r="35" spans="1:80" ht="18" customHeight="1" thickBot="1" thickTop="1">
      <c r="A35" s="256"/>
      <c r="B35" s="85">
        <v>10</v>
      </c>
      <c r="C35" s="168"/>
      <c r="D35" s="168"/>
      <c r="E35" s="169"/>
      <c r="F35" s="42">
        <f>AI8</f>
        <v>3</v>
      </c>
      <c r="G35" s="120" t="str">
        <f>IF(F35&gt;H35,"в","")</f>
        <v>в</v>
      </c>
      <c r="H35" s="43">
        <f>AG8</f>
        <v>2</v>
      </c>
      <c r="I35" s="42">
        <f>AI11</f>
        <v>1</v>
      </c>
      <c r="J35" s="122">
        <f>IF(I35&gt;K35,"в","")</f>
      </c>
      <c r="K35" s="43">
        <f>AG11</f>
        <v>3</v>
      </c>
      <c r="L35" s="42">
        <f>AI14</f>
        <v>0</v>
      </c>
      <c r="M35" s="122">
        <f>IF(L35&gt;N35,"в","")</f>
      </c>
      <c r="N35" s="43">
        <f>AG14</f>
        <v>3</v>
      </c>
      <c r="O35" s="42">
        <f>AI17</f>
        <v>2</v>
      </c>
      <c r="P35" s="122">
        <f>IF(O35&gt;Q35,"в","")</f>
      </c>
      <c r="Q35" s="43">
        <f>AG17</f>
        <v>3</v>
      </c>
      <c r="R35" s="42">
        <f>AI20</f>
        <v>3</v>
      </c>
      <c r="S35" s="120" t="str">
        <f>IF(R35&gt;T35,"в","")</f>
        <v>в</v>
      </c>
      <c r="T35" s="43">
        <f>AG20</f>
        <v>2</v>
      </c>
      <c r="U35" s="42">
        <f>AI23</f>
        <v>2</v>
      </c>
      <c r="V35" s="122">
        <f>IF(U35&gt;W35,"в","")</f>
      </c>
      <c r="W35" s="43">
        <f>AG23</f>
        <v>3</v>
      </c>
      <c r="X35" s="42">
        <f>AI26</f>
        <v>3</v>
      </c>
      <c r="Y35" s="120" t="str">
        <f>IF(X35&gt;Z35,"в","")</f>
        <v>в</v>
      </c>
      <c r="Z35" s="43">
        <f>AG26</f>
        <v>1</v>
      </c>
      <c r="AA35" s="42">
        <f>AI29</f>
        <v>3</v>
      </c>
      <c r="AB35" s="120" t="str">
        <f>IF(AA35&gt;AC35,"в","")</f>
        <v>в</v>
      </c>
      <c r="AC35" s="43">
        <f>AG29</f>
        <v>1</v>
      </c>
      <c r="AD35" s="42">
        <f>AI32</f>
        <v>1</v>
      </c>
      <c r="AE35" s="122">
        <f>IF(AD35&gt;AF35,"в","")</f>
      </c>
      <c r="AF35" s="43">
        <f>AG32</f>
        <v>3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202"/>
      <c r="AW35" s="179"/>
      <c r="AX35" s="184"/>
      <c r="AY35" s="183"/>
      <c r="AZ35" s="176"/>
      <c r="BA35" s="174"/>
      <c r="BB35" s="180"/>
      <c r="BC35" s="44">
        <f>BC34*3</f>
        <v>58.89333333333333</v>
      </c>
      <c r="BD35" s="173"/>
      <c r="BE35" s="260"/>
      <c r="BF35" s="22"/>
      <c r="BG35" s="236"/>
      <c r="BH35" s="236"/>
      <c r="BI35" s="22"/>
      <c r="BJ35" s="22"/>
      <c r="BK35" s="164"/>
      <c r="BL35" s="165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65"/>
    </row>
    <row r="36" spans="1:80" ht="18" customHeight="1" thickBot="1" thickTop="1">
      <c r="A36" s="257"/>
      <c r="B36" s="86"/>
      <c r="C36" s="170"/>
      <c r="D36" s="170"/>
      <c r="E36" s="171"/>
      <c r="F36" s="47">
        <v>29</v>
      </c>
      <c r="G36" s="48">
        <v>27</v>
      </c>
      <c r="H36" s="49">
        <v>23</v>
      </c>
      <c r="I36" s="47">
        <v>23</v>
      </c>
      <c r="J36" s="48"/>
      <c r="K36" s="49"/>
      <c r="L36" s="47"/>
      <c r="M36" s="48"/>
      <c r="N36" s="49"/>
      <c r="O36" s="47">
        <v>19</v>
      </c>
      <c r="P36" s="48">
        <v>18</v>
      </c>
      <c r="Q36" s="49"/>
      <c r="R36" s="47">
        <v>26</v>
      </c>
      <c r="S36" s="48">
        <v>18</v>
      </c>
      <c r="T36" s="49">
        <v>27</v>
      </c>
      <c r="U36" s="47">
        <v>23</v>
      </c>
      <c r="V36" s="48">
        <v>21</v>
      </c>
      <c r="W36" s="49"/>
      <c r="X36" s="47">
        <v>23</v>
      </c>
      <c r="Y36" s="48">
        <v>31</v>
      </c>
      <c r="Z36" s="49">
        <v>32</v>
      </c>
      <c r="AA36" s="47"/>
      <c r="AB36" s="48"/>
      <c r="AC36" s="49"/>
      <c r="AD36" s="47">
        <v>24</v>
      </c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203"/>
      <c r="AW36" s="178">
        <f>AW34-AY34</f>
        <v>-3</v>
      </c>
      <c r="AX36" s="178"/>
      <c r="AY36" s="178"/>
      <c r="AZ36" s="177"/>
      <c r="BA36" s="174"/>
      <c r="BB36" s="180"/>
      <c r="BC36" s="50">
        <f>AVERAGE(F36:AU36)</f>
        <v>24.266666666666666</v>
      </c>
      <c r="BD36" s="173"/>
      <c r="BE36" s="261"/>
      <c r="BF36" s="22"/>
      <c r="BG36" s="236"/>
      <c r="BH36" s="236"/>
      <c r="BI36" s="22"/>
      <c r="BJ36" s="22"/>
      <c r="BK36" s="164"/>
      <c r="BL36" s="165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65"/>
    </row>
    <row r="37" spans="1:80" ht="18" customHeight="1" thickBot="1" thickTop="1">
      <c r="A37" s="255">
        <f>VLOOKUP(C37,Исходник!$A$3:$L$44,12,FALSE)</f>
        <v>56</v>
      </c>
      <c r="B37" s="84"/>
      <c r="C37" s="166" t="str">
        <f>VLOOKUP(B38,Исходник!$Q$3:$AY$44,35,FALSE)</f>
        <v>Соболев Артем
СФДМ, Москва</v>
      </c>
      <c r="D37" s="166"/>
      <c r="E37" s="167"/>
      <c r="F37" s="38"/>
      <c r="G37" s="188"/>
      <c r="H37" s="189"/>
      <c r="I37" s="38"/>
      <c r="J37" s="188"/>
      <c r="K37" s="189"/>
      <c r="L37" s="38"/>
      <c r="M37" s="188"/>
      <c r="N37" s="189"/>
      <c r="O37" s="38"/>
      <c r="P37" s="188"/>
      <c r="Q37" s="189"/>
      <c r="R37" s="38"/>
      <c r="S37" s="188"/>
      <c r="T37" s="189"/>
      <c r="U37" s="51"/>
      <c r="V37" s="188"/>
      <c r="W37" s="189"/>
      <c r="X37" s="51"/>
      <c r="Y37" s="188"/>
      <c r="Z37" s="189"/>
      <c r="AA37" s="38"/>
      <c r="AB37" s="188"/>
      <c r="AC37" s="189"/>
      <c r="AD37" s="51"/>
      <c r="AE37" s="188"/>
      <c r="AF37" s="189"/>
      <c r="AG37" s="38"/>
      <c r="AH37" s="188"/>
      <c r="AI37" s="189"/>
      <c r="AJ37" s="26"/>
      <c r="AK37" s="211"/>
      <c r="AL37" s="212"/>
      <c r="AM37" s="38"/>
      <c r="AN37" s="188"/>
      <c r="AO37" s="189"/>
      <c r="AP37" s="38"/>
      <c r="AQ37" s="188"/>
      <c r="AR37" s="189"/>
      <c r="AS37" s="38"/>
      <c r="AT37" s="188"/>
      <c r="AU37" s="189"/>
      <c r="AV37" s="201">
        <f>COUNTIF(F38:AU38,"в")</f>
        <v>0</v>
      </c>
      <c r="AW37" s="179">
        <f>F38+I38+L38+O38+R38+U38+X38+AA38+AD38+AG38+AJ38+AM38+AP38+AS38</f>
        <v>0</v>
      </c>
      <c r="AX37" s="184" t="s">
        <v>2</v>
      </c>
      <c r="AY37" s="183">
        <f>AU38+AR38+AO38+AL38+AI38+AF38+AC38+Z38+W38+T38+Q38+N38+K38+H38</f>
        <v>0</v>
      </c>
      <c r="AZ37" s="175">
        <f>IF(BL37=0,0,RANK(BL37,$BL$7:$BL$48,0))</f>
        <v>0</v>
      </c>
      <c r="BA37" s="174">
        <f>IF(BL37=0,0,VLOOKUP(AZ37,$BG$7:$BH$48,2,FALSE))</f>
        <v>0</v>
      </c>
      <c r="BB37" s="180">
        <f>A37+BA37</f>
        <v>56</v>
      </c>
      <c r="BC37" s="39" t="e">
        <f>AVERAGE(G37,J37,M37,P37,S37,V37,Y37,AB37,AE37,AH37,AK37,AN37,AQ37,AT37)</f>
        <v>#DIV/0!</v>
      </c>
      <c r="BD37" s="172">
        <f>F37+AS37+AP37+AM37+AJ37+AG37+AD37+AA37+X37+U37+R37+O37+L37+I37</f>
        <v>0</v>
      </c>
      <c r="BE37" s="262"/>
      <c r="BF37" s="22"/>
      <c r="BG37" s="236">
        <v>11</v>
      </c>
      <c r="BH37" s="236">
        <v>7</v>
      </c>
      <c r="BI37" s="22"/>
      <c r="BJ37" s="22"/>
      <c r="BK37" s="164">
        <f>IF((AV37+AW39*0.001)=0,0,AV37+AW39*0.001+1)</f>
        <v>0</v>
      </c>
      <c r="BL37" s="165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65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56"/>
      <c r="B38" s="85">
        <v>11</v>
      </c>
      <c r="C38" s="168"/>
      <c r="D38" s="168"/>
      <c r="E38" s="169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202"/>
      <c r="AW38" s="179"/>
      <c r="AX38" s="184"/>
      <c r="AY38" s="183"/>
      <c r="AZ38" s="176"/>
      <c r="BA38" s="174"/>
      <c r="BB38" s="180"/>
      <c r="BC38" s="44" t="e">
        <f>BC37*3</f>
        <v>#DIV/0!</v>
      </c>
      <c r="BD38" s="173"/>
      <c r="BE38" s="260"/>
      <c r="BF38" s="22"/>
      <c r="BG38" s="236"/>
      <c r="BH38" s="236"/>
      <c r="BI38" s="22"/>
      <c r="BJ38" s="22"/>
      <c r="BK38" s="164"/>
      <c r="BL38" s="165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65"/>
    </row>
    <row r="39" spans="1:80" ht="18" customHeight="1" thickBot="1" thickTop="1">
      <c r="A39" s="257"/>
      <c r="B39" s="86"/>
      <c r="C39" s="170"/>
      <c r="D39" s="170"/>
      <c r="E39" s="171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203"/>
      <c r="AW39" s="178">
        <f>AW37-AY37</f>
        <v>0</v>
      </c>
      <c r="AX39" s="178"/>
      <c r="AY39" s="178"/>
      <c r="AZ39" s="177"/>
      <c r="BA39" s="174"/>
      <c r="BB39" s="180"/>
      <c r="BC39" s="50" t="e">
        <f>AVERAGE(F39:AU39)</f>
        <v>#DIV/0!</v>
      </c>
      <c r="BD39" s="173"/>
      <c r="BE39" s="261"/>
      <c r="BF39" s="22"/>
      <c r="BG39" s="236"/>
      <c r="BH39" s="236"/>
      <c r="BI39" s="22"/>
      <c r="BJ39" s="22"/>
      <c r="BK39" s="164"/>
      <c r="BL39" s="165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65"/>
    </row>
    <row r="40" spans="1:80" ht="18" customHeight="1" thickBot="1" thickTop="1">
      <c r="A40" s="255">
        <f>VLOOKUP(C40,Исходник!$A$3:$L$44,12,FALSE)</f>
        <v>29</v>
      </c>
      <c r="B40" s="84"/>
      <c r="C40" s="166" t="str">
        <f>VLOOKUP(B41,Исходник!$Q$3:$AY$44,35,FALSE)</f>
        <v>Колпаков Олег
СФДМ, Москва</v>
      </c>
      <c r="D40" s="166"/>
      <c r="E40" s="167"/>
      <c r="F40" s="38"/>
      <c r="G40" s="188"/>
      <c r="H40" s="189"/>
      <c r="I40" s="38"/>
      <c r="J40" s="188"/>
      <c r="K40" s="189"/>
      <c r="L40" s="38"/>
      <c r="M40" s="188"/>
      <c r="N40" s="189"/>
      <c r="O40" s="38"/>
      <c r="P40" s="188"/>
      <c r="Q40" s="189"/>
      <c r="R40" s="51"/>
      <c r="S40" s="188"/>
      <c r="T40" s="189"/>
      <c r="U40" s="38"/>
      <c r="V40" s="188"/>
      <c r="W40" s="189"/>
      <c r="X40" s="38"/>
      <c r="Y40" s="188"/>
      <c r="Z40" s="189"/>
      <c r="AA40" s="38"/>
      <c r="AB40" s="188"/>
      <c r="AC40" s="189"/>
      <c r="AD40" s="38"/>
      <c r="AE40" s="188"/>
      <c r="AF40" s="189"/>
      <c r="AG40" s="38"/>
      <c r="AH40" s="188"/>
      <c r="AI40" s="189"/>
      <c r="AJ40" s="38"/>
      <c r="AK40" s="188"/>
      <c r="AL40" s="189"/>
      <c r="AM40" s="26"/>
      <c r="AN40" s="211"/>
      <c r="AO40" s="212"/>
      <c r="AP40" s="38"/>
      <c r="AQ40" s="188"/>
      <c r="AR40" s="189"/>
      <c r="AS40" s="38"/>
      <c r="AT40" s="188"/>
      <c r="AU40" s="189"/>
      <c r="AV40" s="201">
        <f>COUNTIF(F41:AU41,"в")</f>
        <v>0</v>
      </c>
      <c r="AW40" s="179">
        <f>F41+I41+L41+O41+R41+U41+X41+AA41+AD41+AG41+AJ41+AM41+AP41+AS41</f>
        <v>0</v>
      </c>
      <c r="AX40" s="184" t="s">
        <v>2</v>
      </c>
      <c r="AY40" s="183">
        <f>AU41+AR41+AO41+AL41+AI41+AF41+AC41+Z41+W41+T41+Q41+N41+K41+H41</f>
        <v>0</v>
      </c>
      <c r="AZ40" s="175">
        <f>IF(BL40=0,0,RANK(BL40,$BL$7:$BL$48,0))</f>
        <v>0</v>
      </c>
      <c r="BA40" s="174">
        <f>IF(BL40=0,0,VLOOKUP(AZ40,$BG$7:$BH$48,2,FALSE))</f>
        <v>0</v>
      </c>
      <c r="BB40" s="180">
        <f>A40+BA40</f>
        <v>29</v>
      </c>
      <c r="BC40" s="39" t="e">
        <f>AVERAGE(G40,J40,M40,P40,S40,V40,Y40,AB40,AE40,AH40,AK40,AN40,AQ40,AT40)</f>
        <v>#DIV/0!</v>
      </c>
      <c r="BD40" s="172">
        <f>F40+AS40+AP40+AM40+AJ40+AG40+AD40+AA40+X40+U40+R40+O40+L40+I40</f>
        <v>0</v>
      </c>
      <c r="BE40" s="259"/>
      <c r="BF40" s="22"/>
      <c r="BG40" s="236">
        <v>12</v>
      </c>
      <c r="BH40" s="236">
        <v>6</v>
      </c>
      <c r="BI40" s="22"/>
      <c r="BJ40" s="22"/>
      <c r="BK40" s="164">
        <f>IF((AV40+AW42*0.001)=0,0,AV40+AW42*0.001+1)</f>
        <v>0</v>
      </c>
      <c r="BL40" s="165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65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56"/>
      <c r="B41" s="85">
        <v>12</v>
      </c>
      <c r="C41" s="168"/>
      <c r="D41" s="168"/>
      <c r="E41" s="169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202"/>
      <c r="AW41" s="179"/>
      <c r="AX41" s="184"/>
      <c r="AY41" s="183"/>
      <c r="AZ41" s="176"/>
      <c r="BA41" s="174"/>
      <c r="BB41" s="180"/>
      <c r="BC41" s="44" t="e">
        <f>BC40*3</f>
        <v>#DIV/0!</v>
      </c>
      <c r="BD41" s="173"/>
      <c r="BE41" s="260"/>
      <c r="BF41" s="22"/>
      <c r="BG41" s="236"/>
      <c r="BH41" s="236"/>
      <c r="BI41" s="22"/>
      <c r="BJ41" s="22"/>
      <c r="BK41" s="164"/>
      <c r="BL41" s="165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65"/>
    </row>
    <row r="42" spans="1:80" ht="18" customHeight="1" thickBot="1" thickTop="1">
      <c r="A42" s="257"/>
      <c r="B42" s="86"/>
      <c r="C42" s="170"/>
      <c r="D42" s="170"/>
      <c r="E42" s="171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203"/>
      <c r="AW42" s="178">
        <f>AW40-AY40</f>
        <v>0</v>
      </c>
      <c r="AX42" s="178"/>
      <c r="AY42" s="178"/>
      <c r="AZ42" s="177"/>
      <c r="BA42" s="174"/>
      <c r="BB42" s="180"/>
      <c r="BC42" s="50" t="e">
        <f>AVERAGE(F42:AU42)</f>
        <v>#DIV/0!</v>
      </c>
      <c r="BD42" s="173"/>
      <c r="BE42" s="261"/>
      <c r="BF42" s="22"/>
      <c r="BG42" s="236"/>
      <c r="BH42" s="236"/>
      <c r="BI42" s="22"/>
      <c r="BJ42" s="22"/>
      <c r="BK42" s="164"/>
      <c r="BL42" s="165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65"/>
    </row>
    <row r="43" spans="1:80" ht="18" customHeight="1" thickBot="1" thickTop="1">
      <c r="A43" s="255">
        <f>VLOOKUP(C43,Исходник!$A$3:$L$44,12,FALSE)</f>
        <v>28</v>
      </c>
      <c r="B43" s="84"/>
      <c r="C43" s="166" t="str">
        <f>VLOOKUP(B44,Исходник!$Q$3:$AY$44,35,FALSE)</f>
        <v>Иванов Евгений
СФДМ, Красногорск</v>
      </c>
      <c r="D43" s="166"/>
      <c r="E43" s="167"/>
      <c r="F43" s="38"/>
      <c r="G43" s="188"/>
      <c r="H43" s="189"/>
      <c r="I43" s="38"/>
      <c r="J43" s="188"/>
      <c r="K43" s="189"/>
      <c r="L43" s="51"/>
      <c r="M43" s="188"/>
      <c r="N43" s="189"/>
      <c r="O43" s="38"/>
      <c r="P43" s="188"/>
      <c r="Q43" s="189"/>
      <c r="R43" s="38"/>
      <c r="S43" s="188"/>
      <c r="T43" s="189"/>
      <c r="U43" s="38"/>
      <c r="V43" s="188"/>
      <c r="W43" s="189"/>
      <c r="X43" s="38"/>
      <c r="Y43" s="188"/>
      <c r="Z43" s="189"/>
      <c r="AA43" s="38"/>
      <c r="AB43" s="188"/>
      <c r="AC43" s="189"/>
      <c r="AD43" s="38"/>
      <c r="AE43" s="188"/>
      <c r="AF43" s="189"/>
      <c r="AG43" s="38"/>
      <c r="AH43" s="188"/>
      <c r="AI43" s="189"/>
      <c r="AJ43" s="38"/>
      <c r="AK43" s="188"/>
      <c r="AL43" s="189"/>
      <c r="AM43" s="38"/>
      <c r="AN43" s="188"/>
      <c r="AO43" s="189"/>
      <c r="AP43" s="26"/>
      <c r="AQ43" s="211"/>
      <c r="AR43" s="212"/>
      <c r="AS43" s="38"/>
      <c r="AT43" s="188"/>
      <c r="AU43" s="189"/>
      <c r="AV43" s="201">
        <f>COUNTIF(F44:AU44,"в")</f>
        <v>0</v>
      </c>
      <c r="AW43" s="179">
        <f>F44+I44+L44+O44+R44+U44+X44+AA44+AD44+AG44+AJ44+AM44+AP44+AS44</f>
        <v>0</v>
      </c>
      <c r="AX43" s="184" t="s">
        <v>2</v>
      </c>
      <c r="AY43" s="183">
        <f>AU44+AR44+AO44+AL44+AI44+AF44+AC44+Z44+W44+T44+Q44+N44+K44+H44</f>
        <v>0</v>
      </c>
      <c r="AZ43" s="175">
        <f>IF(BL43=0,0,RANK(BL43,$BL$7:$BL$48,0))</f>
        <v>0</v>
      </c>
      <c r="BA43" s="174">
        <f>IF(BL43=0,0,VLOOKUP(AZ43,$BG$7:$BH$48,2,FALSE))</f>
        <v>0</v>
      </c>
      <c r="BB43" s="180">
        <f>A43+BA43</f>
        <v>28</v>
      </c>
      <c r="BC43" s="39" t="e">
        <f>AVERAGE(G43,J43,M43,P43,S43,V43,Y43,AB43,AE43,AH43,AK43,AN43,AQ43,AT43)</f>
        <v>#DIV/0!</v>
      </c>
      <c r="BD43" s="172">
        <f>F43+AS43+AP43+AM43+AJ43+AG43+AD43+AA43+X43+U43+R43+O43+L43+I43</f>
        <v>0</v>
      </c>
      <c r="BE43" s="259"/>
      <c r="BF43" s="22"/>
      <c r="BG43" s="236">
        <v>13</v>
      </c>
      <c r="BH43" s="236">
        <v>5</v>
      </c>
      <c r="BI43" s="22"/>
      <c r="BJ43" s="22"/>
      <c r="BK43" s="164">
        <f>IF((AV43+AW45*0.001)=0,0,AV43+AW45*0.001+1)</f>
        <v>0</v>
      </c>
      <c r="BL43" s="165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65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56"/>
      <c r="B44" s="85">
        <v>13</v>
      </c>
      <c r="C44" s="168"/>
      <c r="D44" s="168"/>
      <c r="E44" s="169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202"/>
      <c r="AW44" s="179"/>
      <c r="AX44" s="184"/>
      <c r="AY44" s="183"/>
      <c r="AZ44" s="176"/>
      <c r="BA44" s="174"/>
      <c r="BB44" s="180"/>
      <c r="BC44" s="44" t="e">
        <f>BC43*3</f>
        <v>#DIV/0!</v>
      </c>
      <c r="BD44" s="173"/>
      <c r="BE44" s="260"/>
      <c r="BF44" s="22"/>
      <c r="BG44" s="236"/>
      <c r="BH44" s="236"/>
      <c r="BI44" s="22"/>
      <c r="BJ44" s="22"/>
      <c r="BK44" s="164"/>
      <c r="BL44" s="165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65"/>
    </row>
    <row r="45" spans="1:80" ht="18" customHeight="1" thickBot="1" thickTop="1">
      <c r="A45" s="257"/>
      <c r="B45" s="86"/>
      <c r="C45" s="170"/>
      <c r="D45" s="170"/>
      <c r="E45" s="171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203"/>
      <c r="AW45" s="178">
        <f>AW43-AY43</f>
        <v>0</v>
      </c>
      <c r="AX45" s="178"/>
      <c r="AY45" s="178"/>
      <c r="AZ45" s="177"/>
      <c r="BA45" s="174"/>
      <c r="BB45" s="180"/>
      <c r="BC45" s="50" t="e">
        <f>AVERAGE(F45:AU45)</f>
        <v>#DIV/0!</v>
      </c>
      <c r="BD45" s="173"/>
      <c r="BE45" s="261"/>
      <c r="BF45" s="22"/>
      <c r="BG45" s="236"/>
      <c r="BH45" s="236"/>
      <c r="BI45" s="22"/>
      <c r="BJ45" s="22"/>
      <c r="BK45" s="164"/>
      <c r="BL45" s="165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65"/>
    </row>
    <row r="46" spans="1:80" ht="18" customHeight="1" thickBot="1" thickTop="1">
      <c r="A46" s="255">
        <f>VLOOKUP(C46,Исходник!$A$3:$L$44,12,FALSE)</f>
        <v>8</v>
      </c>
      <c r="B46" s="84"/>
      <c r="C46" s="166" t="str">
        <f>VLOOKUP(B47,Исходник!$Q$3:$AY$44,35,FALSE)</f>
        <v>Акутов Александр
СФДМ, Москва</v>
      </c>
      <c r="D46" s="166"/>
      <c r="E46" s="167"/>
      <c r="F46" s="38"/>
      <c r="G46" s="188"/>
      <c r="H46" s="189"/>
      <c r="I46" s="38"/>
      <c r="J46" s="188"/>
      <c r="K46" s="189"/>
      <c r="L46" s="38"/>
      <c r="M46" s="188"/>
      <c r="N46" s="189"/>
      <c r="O46" s="38"/>
      <c r="P46" s="188"/>
      <c r="Q46" s="189"/>
      <c r="R46" s="38"/>
      <c r="S46" s="188"/>
      <c r="T46" s="189"/>
      <c r="U46" s="38"/>
      <c r="V46" s="188"/>
      <c r="W46" s="189"/>
      <c r="X46" s="38"/>
      <c r="Y46" s="188"/>
      <c r="Z46" s="189"/>
      <c r="AA46" s="38"/>
      <c r="AB46" s="188"/>
      <c r="AC46" s="189"/>
      <c r="AD46" s="38"/>
      <c r="AE46" s="188"/>
      <c r="AF46" s="189"/>
      <c r="AG46" s="38"/>
      <c r="AH46" s="188"/>
      <c r="AI46" s="189"/>
      <c r="AJ46" s="38"/>
      <c r="AK46" s="188"/>
      <c r="AL46" s="189"/>
      <c r="AM46" s="38"/>
      <c r="AN46" s="188"/>
      <c r="AO46" s="189"/>
      <c r="AP46" s="38"/>
      <c r="AQ46" s="188"/>
      <c r="AR46" s="189"/>
      <c r="AS46" s="26"/>
      <c r="AT46" s="211"/>
      <c r="AU46" s="212"/>
      <c r="AV46" s="201">
        <f>COUNTIF(F47:AU47,"в")</f>
        <v>0</v>
      </c>
      <c r="AW46" s="179">
        <f>F47+I47+L47+O47+R47+U47+X47+AA47+AD47+AG47+AJ47+AM47+AP47+AS47</f>
        <v>0</v>
      </c>
      <c r="AX46" s="184" t="s">
        <v>2</v>
      </c>
      <c r="AY46" s="183">
        <f>AU47+AR47+AO47+AL47+AI47+AF47+AC47+Z47+W47+T47+Q47+N47+K47+H47</f>
        <v>0</v>
      </c>
      <c r="AZ46" s="175">
        <f>IF(BL46=0,0,RANK(BL46,$BL$7:$BL$48,0))</f>
        <v>0</v>
      </c>
      <c r="BA46" s="174">
        <f>IF(BL46=0,0,VLOOKUP(AZ46,$BG$7:$BH$48,2,FALSE))</f>
        <v>0</v>
      </c>
      <c r="BB46" s="180">
        <f>A46+BA46</f>
        <v>8</v>
      </c>
      <c r="BC46" s="39" t="e">
        <f>AVERAGE(G46,J46,M46,P46,S46,V46,Y46,AB46,AE46,AH46,AK46,AN46,AQ46,AT46)</f>
        <v>#DIV/0!</v>
      </c>
      <c r="BD46" s="172">
        <f>F46+AS46+AP46+AM46+AJ46+AG46+AD46+AA46+X46+U46+R46+O46+L46+I46</f>
        <v>0</v>
      </c>
      <c r="BE46" s="259"/>
      <c r="BF46" s="22"/>
      <c r="BG46" s="236">
        <v>14</v>
      </c>
      <c r="BH46" s="236">
        <v>4</v>
      </c>
      <c r="BI46" s="22"/>
      <c r="BJ46" s="22"/>
      <c r="BK46" s="164">
        <f>IF((AV46+AW48*0.001)=0,0,AV46+AW48*0.001+1)</f>
        <v>0</v>
      </c>
      <c r="BL46" s="165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65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56"/>
      <c r="B47" s="85">
        <v>14</v>
      </c>
      <c r="C47" s="168"/>
      <c r="D47" s="168"/>
      <c r="E47" s="169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202"/>
      <c r="AW47" s="179"/>
      <c r="AX47" s="184"/>
      <c r="AY47" s="183"/>
      <c r="AZ47" s="176"/>
      <c r="BA47" s="174"/>
      <c r="BB47" s="180"/>
      <c r="BC47" s="44" t="e">
        <f>BC46*3</f>
        <v>#DIV/0!</v>
      </c>
      <c r="BD47" s="173"/>
      <c r="BE47" s="260"/>
      <c r="BF47" s="22"/>
      <c r="BG47" s="236"/>
      <c r="BH47" s="236"/>
      <c r="BI47" s="22"/>
      <c r="BJ47" s="22"/>
      <c r="BK47" s="164"/>
      <c r="BL47" s="165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65"/>
    </row>
    <row r="48" spans="1:80" ht="18" customHeight="1" thickBot="1" thickTop="1">
      <c r="A48" s="257"/>
      <c r="B48" s="87"/>
      <c r="C48" s="292"/>
      <c r="D48" s="292"/>
      <c r="E48" s="293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203"/>
      <c r="AW48" s="178">
        <f>AW46-AY46</f>
        <v>0</v>
      </c>
      <c r="AX48" s="178"/>
      <c r="AY48" s="178"/>
      <c r="AZ48" s="177"/>
      <c r="BA48" s="174"/>
      <c r="BB48" s="180"/>
      <c r="BC48" s="67" t="e">
        <f>AVERAGE(F48:AU48)</f>
        <v>#DIV/0!</v>
      </c>
      <c r="BD48" s="173"/>
      <c r="BE48" s="172"/>
      <c r="BF48" s="22"/>
      <c r="BG48" s="236"/>
      <c r="BH48" s="236"/>
      <c r="BI48" s="22"/>
      <c r="BJ48" s="22"/>
      <c r="BK48" s="164"/>
      <c r="BL48" s="165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65"/>
    </row>
    <row r="49" spans="61:80" ht="13.5" thickTop="1">
      <c r="BI49" s="22"/>
      <c r="BJ49" s="22"/>
      <c r="BK49" s="164">
        <f>BK7</f>
        <v>7.01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1:80" ht="12.75">
      <c r="BI50" s="22"/>
      <c r="BJ50" s="22"/>
      <c r="BK50" s="164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1:80" ht="12.75">
      <c r="BI51" s="22"/>
      <c r="BJ51" s="22"/>
      <c r="BK51" s="164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1:80" ht="12.75">
      <c r="BI52" s="22"/>
      <c r="BJ52" s="22"/>
      <c r="BK52" s="164">
        <f>BK10</f>
        <v>9.015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1:80" ht="12.75">
      <c r="BI53" s="22"/>
      <c r="BJ53" s="22"/>
      <c r="BK53" s="164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1:80" ht="12.75">
      <c r="BI54" s="22"/>
      <c r="BJ54" s="22"/>
      <c r="BK54" s="164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1:80" ht="12.75">
      <c r="BI55" s="22"/>
      <c r="BJ55" s="22"/>
      <c r="BK55" s="164">
        <f>BK13</f>
        <v>7.007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1:80" ht="12.75">
      <c r="BI56" s="22"/>
      <c r="BJ56" s="22"/>
      <c r="BK56" s="164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1:80" ht="12.75">
      <c r="BI57" s="22"/>
      <c r="BJ57" s="22"/>
      <c r="BK57" s="164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1:80" ht="12.75">
      <c r="BI58" s="22"/>
      <c r="BJ58" s="22"/>
      <c r="BK58" s="164">
        <f>BK16</f>
        <v>8.015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1:80" ht="12.75">
      <c r="BI59" s="22"/>
      <c r="BJ59" s="22"/>
      <c r="BK59" s="164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1:80" ht="12.75">
      <c r="BI60" s="22"/>
      <c r="BJ60" s="22"/>
      <c r="BK60" s="164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1:80" ht="12.75">
      <c r="BI61" s="22"/>
      <c r="BJ61" s="22"/>
      <c r="BK61" s="164">
        <f>BK19</f>
        <v>4.9990000000000006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1:80" ht="12.75">
      <c r="BI62" s="22"/>
      <c r="BJ62" s="22"/>
      <c r="BK62" s="164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1:80" ht="12.75">
      <c r="BI63" s="22"/>
      <c r="BJ63" s="22"/>
      <c r="BK63" s="164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1:80" ht="12.75">
      <c r="BI64" s="22"/>
      <c r="BJ64" s="22"/>
      <c r="BK64" s="164">
        <f>BK22</f>
        <v>4.997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1:80" ht="12.75">
      <c r="BI65" s="22"/>
      <c r="BJ65" s="22"/>
      <c r="BK65" s="164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1:80" ht="12.75">
      <c r="BI66" s="22"/>
      <c r="BJ66" s="22"/>
      <c r="BK66" s="164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1:80" ht="12.75">
      <c r="BI67" s="22"/>
      <c r="BJ67" s="22"/>
      <c r="BK67" s="164">
        <f>BK25</f>
        <v>3.992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1:80" ht="12.75">
      <c r="BI68" s="22"/>
      <c r="BJ68" s="22"/>
      <c r="BK68" s="164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1:80" ht="12.75">
      <c r="BI69" s="22"/>
      <c r="BJ69" s="22"/>
      <c r="BK69" s="164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1:80" ht="12.75">
      <c r="BI70" s="22"/>
      <c r="BJ70" s="22"/>
      <c r="BK70" s="164">
        <f>BK28</f>
        <v>0.975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1:80" ht="12.75">
      <c r="BI71" s="22"/>
      <c r="BJ71" s="22"/>
      <c r="BK71" s="164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1:80" ht="12.75">
      <c r="BI72" s="22"/>
      <c r="BJ72" s="22"/>
      <c r="BK72" s="164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1:80" ht="12.75">
      <c r="BI73" s="22"/>
      <c r="BJ73" s="22"/>
      <c r="BK73" s="164">
        <f>BK31</f>
        <v>3.993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1:80" ht="12.75">
      <c r="BI74" s="22"/>
      <c r="BJ74" s="22"/>
      <c r="BK74" s="164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1:80" ht="12.75">
      <c r="BI75" s="22"/>
      <c r="BJ75" s="22"/>
      <c r="BK75" s="164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1:80" ht="12.75">
      <c r="BI76" s="22"/>
      <c r="BJ76" s="22"/>
      <c r="BK76" s="164">
        <f>BK34</f>
        <v>4.997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1:80" ht="12.75">
      <c r="BI77" s="22"/>
      <c r="BJ77" s="22"/>
      <c r="BK77" s="164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1:80" ht="12.75">
      <c r="BI78" s="22"/>
      <c r="BJ78" s="22"/>
      <c r="BK78" s="164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1:80" ht="12.75">
      <c r="BI79" s="22"/>
      <c r="BJ79" s="22"/>
      <c r="BK79" s="164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1:80" ht="12.75">
      <c r="BI80" s="22"/>
      <c r="BJ80" s="22"/>
      <c r="BK80" s="164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1:80" ht="12.75">
      <c r="BI81" s="22"/>
      <c r="BJ81" s="22"/>
      <c r="BK81" s="164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1:80" ht="12.75">
      <c r="BI82" s="22"/>
      <c r="BJ82" s="22"/>
      <c r="BK82" s="164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1:80" ht="12.75">
      <c r="BI83" s="22"/>
      <c r="BJ83" s="22"/>
      <c r="BK83" s="164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1:80" ht="12.75">
      <c r="BI84" s="22"/>
      <c r="BJ84" s="22"/>
      <c r="BK84" s="164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1:80" ht="12.75">
      <c r="BI85" s="22"/>
      <c r="BJ85" s="22"/>
      <c r="BK85" s="164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1:80" ht="12.75">
      <c r="BI86" s="22"/>
      <c r="BJ86" s="22"/>
      <c r="BK86" s="164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1:80" ht="12.75">
      <c r="BI87" s="22"/>
      <c r="BJ87" s="22"/>
      <c r="BK87" s="164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1:80" ht="12.75">
      <c r="BI88" s="22"/>
      <c r="BJ88" s="22"/>
      <c r="BK88" s="164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1:80" ht="12.75">
      <c r="BI89" s="22"/>
      <c r="BJ89" s="22"/>
      <c r="BK89" s="164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1:80" ht="12.75">
      <c r="BI90" s="22"/>
      <c r="BJ90" s="22"/>
      <c r="BK90" s="164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63:80" ht="12.75"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63:80" ht="12.75"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63:80" ht="12.75"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63:80" ht="12.75"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63:80" ht="12.75"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63:80" ht="12.75"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63:80" ht="12.75"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63:80" ht="12.75"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63:80" ht="12.75"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63:80" ht="12.75"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  <row r="101" spans="63:80" ht="12.75"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</row>
    <row r="102" spans="63:80" ht="12.75"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</row>
    <row r="103" spans="63:80" ht="12.75"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</row>
    <row r="104" spans="63:80" ht="12.75"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</row>
    <row r="105" spans="63:80" ht="12.75"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</row>
    <row r="106" spans="63:80" ht="12.75"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</row>
    <row r="107" spans="63:80" ht="12.75"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</row>
    <row r="108" spans="63:80" ht="12.75"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</row>
    <row r="109" spans="63:80" ht="12.75"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</row>
  </sheetData>
  <sheetProtection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AZ46:AZ48"/>
    <mergeCell ref="BA46:BA48"/>
    <mergeCell ref="AW48:AY48"/>
    <mergeCell ref="AW46:AW47"/>
    <mergeCell ref="AX46:AX47"/>
    <mergeCell ref="AY46:AY47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N10:AO10"/>
    <mergeCell ref="AQ10:AR10"/>
    <mergeCell ref="V10:W10"/>
    <mergeCell ref="Y10:Z10"/>
    <mergeCell ref="AB10:AC10"/>
    <mergeCell ref="AE10:AF10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BA7:BA9"/>
    <mergeCell ref="BB7:BB9"/>
    <mergeCell ref="BD7:BD9"/>
    <mergeCell ref="BE7:BE9"/>
    <mergeCell ref="AW7:AW8"/>
    <mergeCell ref="AX7:AX8"/>
    <mergeCell ref="AY7:AY8"/>
    <mergeCell ref="AZ7:AZ9"/>
    <mergeCell ref="AN7:AO7"/>
    <mergeCell ref="AQ7:AR7"/>
    <mergeCell ref="AT7:AU7"/>
    <mergeCell ref="AV7:AV9"/>
    <mergeCell ref="AB7:AC7"/>
    <mergeCell ref="AE7:AF7"/>
    <mergeCell ref="AH7:AI7"/>
    <mergeCell ref="AK7:AL7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BB4:BB6"/>
    <mergeCell ref="BD4:BD6"/>
    <mergeCell ref="BE4:BE6"/>
    <mergeCell ref="BG4:BG6"/>
    <mergeCell ref="AV4:AV6"/>
    <mergeCell ref="AW4:AY6"/>
    <mergeCell ref="AZ4:AZ6"/>
    <mergeCell ref="BA4:BA6"/>
    <mergeCell ref="AK4:AL4"/>
    <mergeCell ref="AN4:AO4"/>
    <mergeCell ref="AQ4:AR4"/>
    <mergeCell ref="AT4:AU4"/>
    <mergeCell ref="V4:W4"/>
    <mergeCell ref="Y4:Z4"/>
    <mergeCell ref="AE4:AF4"/>
    <mergeCell ref="AH4:AI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" operator="greaterThanOrEqual" stopIfTrue="1">
      <formula>1</formula>
    </cfRule>
  </conditionalFormatting>
  <conditionalFormatting sqref="BC7">
    <cfRule type="cellIs" priority="768" dxfId="3" operator="between" stopIfTrue="1">
      <formula>21</formula>
      <formula>22.99999999</formula>
    </cfRule>
    <cfRule type="cellIs" priority="769" dxfId="2" operator="between" stopIfTrue="1">
      <formula>23</formula>
      <formula>26.999</formula>
    </cfRule>
    <cfRule type="cellIs" priority="770" dxfId="1" operator="greaterThanOrEqual" stopIfTrue="1">
      <formula>27</formula>
    </cfRule>
  </conditionalFormatting>
  <conditionalFormatting sqref="BC10 BC13 BC16 BC19 BC22 BC25 BC28 BC31 BC34 BC37 BC40 BC43 BC46">
    <cfRule type="cellIs" priority="762" dxfId="3" operator="between" stopIfTrue="1">
      <formula>21</formula>
      <formula>22.99999999</formula>
    </cfRule>
    <cfRule type="cellIs" priority="763" dxfId="2" operator="between" stopIfTrue="1">
      <formula>23</formula>
      <formula>26.999</formula>
    </cfRule>
    <cfRule type="cellIs" priority="764" dxfId="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" operator="greaterThanOrEqual" stopIfTrue="1">
      <formula>1</formula>
    </cfRule>
  </conditionalFormatting>
  <conditionalFormatting sqref="BC28 BC31 BC34 BC37 BC40 BC43 BC46 BC7 BC10 BC13 BC16 BC19 BC22 BC25">
    <cfRule type="cellIs" priority="728" dxfId="3" operator="between" stopIfTrue="1">
      <formula>21</formula>
      <formula>22.99999999</formula>
    </cfRule>
    <cfRule type="cellIs" priority="729" dxfId="2" operator="between" stopIfTrue="1">
      <formula>23</formula>
      <formula>26.999</formula>
    </cfRule>
    <cfRule type="cellIs" priority="730" dxfId="1" operator="greaterThanOrEqual" stopIfTrue="1">
      <formula>27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3" operator="between" stopIfTrue="1">
      <formula>21</formula>
      <formula>22.99999999</formula>
    </cfRule>
    <cfRule type="cellIs" priority="22" dxfId="2" operator="between" stopIfTrue="1">
      <formula>23</formula>
      <formula>26.999</formula>
    </cfRule>
    <cfRule type="cellIs" priority="23" dxfId="1" operator="greaterThanOrEqual" stopIfTrue="1">
      <formula>27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50" zoomScaleNormal="50" zoomScalePageLayoutView="0" workbookViewId="0" topLeftCell="A1">
      <selection activeCell="L11" sqref="L11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37" t="s">
        <v>52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  <c r="L1" s="243" t="s">
        <v>53</v>
      </c>
      <c r="M1" s="244"/>
      <c r="N1" s="244"/>
      <c r="O1" s="244"/>
      <c r="P1" s="244"/>
      <c r="Q1" s="244"/>
      <c r="R1" s="244"/>
      <c r="S1" s="244"/>
      <c r="T1" s="245"/>
      <c r="U1" s="283"/>
      <c r="V1" s="284"/>
      <c r="W1" s="284"/>
      <c r="X1" s="284"/>
      <c r="Y1" s="284"/>
      <c r="Z1" s="285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2"/>
      <c r="L2" s="246"/>
      <c r="M2" s="247"/>
      <c r="N2" s="247"/>
      <c r="O2" s="247"/>
      <c r="P2" s="247"/>
      <c r="Q2" s="247"/>
      <c r="R2" s="247"/>
      <c r="S2" s="247"/>
      <c r="T2" s="248"/>
      <c r="U2" s="286"/>
      <c r="V2" s="287"/>
      <c r="W2" s="287"/>
      <c r="X2" s="287"/>
      <c r="Y2" s="287"/>
      <c r="Z2" s="288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246"/>
      <c r="M3" s="247"/>
      <c r="N3" s="247"/>
      <c r="O3" s="247"/>
      <c r="P3" s="247"/>
      <c r="Q3" s="247"/>
      <c r="R3" s="247"/>
      <c r="S3" s="247"/>
      <c r="T3" s="248"/>
      <c r="U3" s="286"/>
      <c r="V3" s="287"/>
      <c r="W3" s="287"/>
      <c r="X3" s="287"/>
      <c r="Y3" s="287"/>
      <c r="Z3" s="288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89" t="s">
        <v>16</v>
      </c>
      <c r="B4" s="219" t="s">
        <v>19</v>
      </c>
      <c r="C4" s="220"/>
      <c r="D4" s="220"/>
      <c r="E4" s="221"/>
      <c r="F4" s="57"/>
      <c r="G4" s="204"/>
      <c r="H4" s="205"/>
      <c r="I4" s="57"/>
      <c r="J4" s="204"/>
      <c r="K4" s="205"/>
      <c r="L4" s="57"/>
      <c r="M4" s="204"/>
      <c r="N4" s="205"/>
      <c r="O4" s="57"/>
      <c r="P4" s="204"/>
      <c r="Q4" s="205"/>
      <c r="R4" s="57"/>
      <c r="S4" s="204"/>
      <c r="T4" s="205"/>
      <c r="U4" s="57"/>
      <c r="V4" s="204"/>
      <c r="W4" s="205"/>
      <c r="X4" s="57"/>
      <c r="Y4" s="204"/>
      <c r="Z4" s="205"/>
      <c r="AA4" s="57"/>
      <c r="AB4" s="58"/>
      <c r="AC4" s="59"/>
      <c r="AD4" s="57"/>
      <c r="AE4" s="204"/>
      <c r="AF4" s="205"/>
      <c r="AG4" s="57"/>
      <c r="AH4" s="204"/>
      <c r="AI4" s="205"/>
      <c r="AJ4" s="57"/>
      <c r="AK4" s="204"/>
      <c r="AL4" s="205"/>
      <c r="AM4" s="57"/>
      <c r="AN4" s="204"/>
      <c r="AO4" s="205"/>
      <c r="AP4" s="57"/>
      <c r="AQ4" s="204"/>
      <c r="AR4" s="205"/>
      <c r="AS4" s="57"/>
      <c r="AT4" s="204"/>
      <c r="AU4" s="205"/>
      <c r="AV4" s="208" t="s">
        <v>0</v>
      </c>
      <c r="AW4" s="192" t="s">
        <v>9</v>
      </c>
      <c r="AX4" s="193"/>
      <c r="AY4" s="194"/>
      <c r="AZ4" s="192" t="s">
        <v>1</v>
      </c>
      <c r="BA4" s="185" t="s">
        <v>14</v>
      </c>
      <c r="BB4" s="185" t="s">
        <v>15</v>
      </c>
      <c r="BC4" s="60" t="s">
        <v>10</v>
      </c>
      <c r="BD4" s="181">
        <v>180</v>
      </c>
      <c r="BE4" s="263" t="s">
        <v>21</v>
      </c>
      <c r="BF4" s="22"/>
      <c r="BG4" s="258" t="s">
        <v>18</v>
      </c>
      <c r="BH4" s="258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90"/>
      <c r="B5" s="222"/>
      <c r="C5" s="223"/>
      <c r="D5" s="223"/>
      <c r="E5" s="224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209"/>
      <c r="AW5" s="195"/>
      <c r="AX5" s="196"/>
      <c r="AY5" s="197"/>
      <c r="AZ5" s="195"/>
      <c r="BA5" s="186"/>
      <c r="BB5" s="186"/>
      <c r="BC5" s="30" t="s">
        <v>11</v>
      </c>
      <c r="BD5" s="182"/>
      <c r="BE5" s="264"/>
      <c r="BF5" s="22"/>
      <c r="BG5" s="258"/>
      <c r="BH5" s="258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91"/>
      <c r="B6" s="225"/>
      <c r="C6" s="226"/>
      <c r="D6" s="226"/>
      <c r="E6" s="227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210"/>
      <c r="AW6" s="198"/>
      <c r="AX6" s="199"/>
      <c r="AY6" s="200"/>
      <c r="AZ6" s="198"/>
      <c r="BA6" s="187"/>
      <c r="BB6" s="187"/>
      <c r="BC6" s="37" t="s">
        <v>12</v>
      </c>
      <c r="BD6" s="182"/>
      <c r="BE6" s="264"/>
      <c r="BF6" s="22"/>
      <c r="BG6" s="258"/>
      <c r="BH6" s="258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255">
        <f>VLOOKUP(C7,Исходник!$A$3:$R$44,18,FALSE)</f>
        <v>79</v>
      </c>
      <c r="B7" s="84"/>
      <c r="C7" s="166" t="str">
        <f>VLOOKUP(B8,Исходник!$X$3:$AY$44,28,FALSE)</f>
        <v>Шашеро Антон
СФДМ, Москва</v>
      </c>
      <c r="D7" s="166"/>
      <c r="E7" s="167"/>
      <c r="F7" s="26"/>
      <c r="G7" s="211"/>
      <c r="H7" s="211"/>
      <c r="I7" s="38"/>
      <c r="J7" s="188"/>
      <c r="K7" s="189"/>
      <c r="L7" s="38"/>
      <c r="M7" s="188"/>
      <c r="N7" s="189"/>
      <c r="O7" s="38"/>
      <c r="P7" s="188"/>
      <c r="Q7" s="189"/>
      <c r="R7" s="38"/>
      <c r="S7" s="188"/>
      <c r="T7" s="189"/>
      <c r="U7" s="38"/>
      <c r="V7" s="188"/>
      <c r="W7" s="189"/>
      <c r="X7" s="38"/>
      <c r="Y7" s="188"/>
      <c r="Z7" s="189"/>
      <c r="AA7" s="38"/>
      <c r="AB7" s="188"/>
      <c r="AC7" s="189"/>
      <c r="AD7" s="38"/>
      <c r="AE7" s="188"/>
      <c r="AF7" s="189"/>
      <c r="AG7" s="38"/>
      <c r="AH7" s="188"/>
      <c r="AI7" s="189"/>
      <c r="AJ7" s="38"/>
      <c r="AK7" s="188"/>
      <c r="AL7" s="189"/>
      <c r="AM7" s="38"/>
      <c r="AN7" s="188"/>
      <c r="AO7" s="189"/>
      <c r="AP7" s="38"/>
      <c r="AQ7" s="188"/>
      <c r="AR7" s="189"/>
      <c r="AS7" s="38"/>
      <c r="AT7" s="188"/>
      <c r="AU7" s="189"/>
      <c r="AV7" s="201">
        <f>COUNTIF(F8:AU8,"в")</f>
        <v>0</v>
      </c>
      <c r="AW7" s="179">
        <f>F8+I8+L8+O8+R8+U8+X8+AA8+AD8+AG8+AJ8+AM8+AP8+AS8</f>
        <v>0</v>
      </c>
      <c r="AX7" s="184" t="s">
        <v>2</v>
      </c>
      <c r="AY7" s="183">
        <f>AU8+AR8+AO8+AL8+AI8+AF8+AC8+Z8+W8+T8+Q8+N8+K8+H8</f>
        <v>0</v>
      </c>
      <c r="AZ7" s="175">
        <f>IF(BL7=0,0,RANK(BL7,$BL$7:$BL$48,0))</f>
        <v>0</v>
      </c>
      <c r="BA7" s="174">
        <f>IF(BL7=0,0,VLOOKUP(AZ7,$BG$7:$BH$48,2,FALSE))</f>
        <v>0</v>
      </c>
      <c r="BB7" s="180">
        <f>A7+BA7</f>
        <v>79</v>
      </c>
      <c r="BC7" s="39" t="e">
        <f>AVERAGE(G7,J7,M7,P7,S7,V7,Y7,AB7,AE7,AH7,AK7,AN7,AQ7,AT7)</f>
        <v>#DIV/0!</v>
      </c>
      <c r="BD7" s="173">
        <f>F7+AS7+AP7+AM7+AJ7+AG7+AD7+AA7+X7+U7+R7+O7+L7+I7</f>
        <v>0</v>
      </c>
      <c r="BE7" s="265"/>
      <c r="BF7" s="22"/>
      <c r="BG7" s="236">
        <v>1</v>
      </c>
      <c r="BH7" s="236">
        <v>30</v>
      </c>
      <c r="BI7" s="88"/>
      <c r="BJ7" s="88"/>
      <c r="BK7" s="164">
        <f>IF((AV7+AW9*0.001)=0,0,AV7+AW9*0.001+1)</f>
        <v>0</v>
      </c>
      <c r="BL7" s="165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65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56"/>
      <c r="B8" s="85">
        <v>1</v>
      </c>
      <c r="C8" s="168"/>
      <c r="D8" s="168"/>
      <c r="E8" s="169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202"/>
      <c r="AW8" s="179"/>
      <c r="AX8" s="184"/>
      <c r="AY8" s="183"/>
      <c r="AZ8" s="176"/>
      <c r="BA8" s="174"/>
      <c r="BB8" s="180"/>
      <c r="BC8" s="44" t="e">
        <f>BC7*3</f>
        <v>#DIV/0!</v>
      </c>
      <c r="BD8" s="173"/>
      <c r="BE8" s="266"/>
      <c r="BF8" s="22"/>
      <c r="BG8" s="236"/>
      <c r="BH8" s="236"/>
      <c r="BI8" s="88"/>
      <c r="BJ8" s="88"/>
      <c r="BK8" s="164"/>
      <c r="BL8" s="165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65"/>
    </row>
    <row r="9" spans="1:80" ht="18" customHeight="1" thickBot="1" thickTop="1">
      <c r="A9" s="257"/>
      <c r="B9" s="86"/>
      <c r="C9" s="170"/>
      <c r="D9" s="170"/>
      <c r="E9" s="171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203"/>
      <c r="AW9" s="178">
        <f>AW7-AY7</f>
        <v>0</v>
      </c>
      <c r="AX9" s="178"/>
      <c r="AY9" s="178"/>
      <c r="AZ9" s="177"/>
      <c r="BA9" s="174"/>
      <c r="BB9" s="180"/>
      <c r="BC9" s="50" t="e">
        <f>AVERAGE(F9:AU9)</f>
        <v>#DIV/0!</v>
      </c>
      <c r="BD9" s="173"/>
      <c r="BE9" s="267"/>
      <c r="BF9" s="22"/>
      <c r="BG9" s="236"/>
      <c r="BH9" s="236"/>
      <c r="BI9" s="88"/>
      <c r="BJ9" s="88"/>
      <c r="BK9" s="164"/>
      <c r="BL9" s="165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65"/>
    </row>
    <row r="10" spans="1:80" ht="18" customHeight="1" thickBot="1" thickTop="1">
      <c r="A10" s="255">
        <f>VLOOKUP(C10,Исходник!$A$3:$R$44,18,FALSE)</f>
        <v>76</v>
      </c>
      <c r="B10" s="84"/>
      <c r="C10" s="166" t="str">
        <f>VLOOKUP(B11,Исходник!$X$3:$AY$44,28,FALSE)</f>
        <v>Сущенко Сергей
СФДМ, Москва</v>
      </c>
      <c r="D10" s="166"/>
      <c r="E10" s="167"/>
      <c r="F10" s="51"/>
      <c r="G10" s="188"/>
      <c r="H10" s="189"/>
      <c r="I10" s="25"/>
      <c r="J10" s="211"/>
      <c r="K10" s="212"/>
      <c r="L10" s="38"/>
      <c r="M10" s="188"/>
      <c r="N10" s="189"/>
      <c r="O10" s="38"/>
      <c r="P10" s="188"/>
      <c r="Q10" s="189"/>
      <c r="R10" s="38"/>
      <c r="S10" s="188"/>
      <c r="T10" s="189"/>
      <c r="U10" s="38"/>
      <c r="V10" s="188"/>
      <c r="W10" s="189"/>
      <c r="X10" s="38"/>
      <c r="Y10" s="188"/>
      <c r="Z10" s="189"/>
      <c r="AA10" s="38"/>
      <c r="AB10" s="188"/>
      <c r="AC10" s="189"/>
      <c r="AD10" s="38"/>
      <c r="AE10" s="188"/>
      <c r="AF10" s="189"/>
      <c r="AG10" s="38"/>
      <c r="AH10" s="188"/>
      <c r="AI10" s="189"/>
      <c r="AJ10" s="38"/>
      <c r="AK10" s="188"/>
      <c r="AL10" s="189"/>
      <c r="AM10" s="38"/>
      <c r="AN10" s="188"/>
      <c r="AO10" s="189"/>
      <c r="AP10" s="38"/>
      <c r="AQ10" s="188"/>
      <c r="AR10" s="189"/>
      <c r="AS10" s="38"/>
      <c r="AT10" s="188"/>
      <c r="AU10" s="189"/>
      <c r="AV10" s="201">
        <f>COUNTIF(F11:AU11,"в")</f>
        <v>0</v>
      </c>
      <c r="AW10" s="179">
        <f>F11+I11+L11+O11+R11+U11+X11+AA11+AD11+AG11+AJ11+AM11+AP11+AS11</f>
        <v>0</v>
      </c>
      <c r="AX10" s="184" t="s">
        <v>2</v>
      </c>
      <c r="AY10" s="183">
        <f>AU11+AR11+AO11+AL11+AI11+AF11+AC11+Z11+W11+T11+Q11+N11+K11+H11</f>
        <v>0</v>
      </c>
      <c r="AZ10" s="175">
        <f>IF(BL10=0,0,RANK(BL10,$BL$7:$BL$48,0))</f>
        <v>0</v>
      </c>
      <c r="BA10" s="174">
        <f>IF(BL10=0,0,VLOOKUP(AZ10,$BG$7:$BH$48,2,FALSE))</f>
        <v>0</v>
      </c>
      <c r="BB10" s="180">
        <f>A10+BA10</f>
        <v>76</v>
      </c>
      <c r="BC10" s="39" t="e">
        <f>AVERAGE(G10,J10,M10,P10,S10,V10,Y10,AB10,AE10,AH10,AK10,AN10,AQ10,AT10)</f>
        <v>#DIV/0!</v>
      </c>
      <c r="BD10" s="172">
        <f>F10+AS10+AP10+AM10+AJ10+AG10+AD10+AA10+X10+U10+R10+O10+L10+I10</f>
        <v>0</v>
      </c>
      <c r="BE10" s="259"/>
      <c r="BF10" s="22"/>
      <c r="BG10" s="236">
        <v>2</v>
      </c>
      <c r="BH10" s="236">
        <v>26</v>
      </c>
      <c r="BI10" s="88"/>
      <c r="BJ10" s="88"/>
      <c r="BK10" s="164">
        <f>IF((AV10+AW12*0.001)=0,0,AV10+AW12*0.001+1)</f>
        <v>0</v>
      </c>
      <c r="BL10" s="165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165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56"/>
      <c r="B11" s="85">
        <v>2</v>
      </c>
      <c r="C11" s="168"/>
      <c r="D11" s="168"/>
      <c r="E11" s="169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202"/>
      <c r="AW11" s="179"/>
      <c r="AX11" s="184"/>
      <c r="AY11" s="183"/>
      <c r="AZ11" s="176"/>
      <c r="BA11" s="174"/>
      <c r="BB11" s="180"/>
      <c r="BC11" s="44" t="e">
        <f>BC10*3</f>
        <v>#DIV/0!</v>
      </c>
      <c r="BD11" s="173"/>
      <c r="BE11" s="260"/>
      <c r="BF11" s="22"/>
      <c r="BG11" s="236"/>
      <c r="BH11" s="236"/>
      <c r="BI11" s="88"/>
      <c r="BJ11" s="88"/>
      <c r="BK11" s="164"/>
      <c r="BL11" s="165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65"/>
    </row>
    <row r="12" spans="1:80" ht="18" customHeight="1" thickBot="1" thickTop="1">
      <c r="A12" s="257"/>
      <c r="B12" s="86"/>
      <c r="C12" s="170"/>
      <c r="D12" s="170"/>
      <c r="E12" s="171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203"/>
      <c r="AW12" s="178">
        <f>AW10-AY10</f>
        <v>0</v>
      </c>
      <c r="AX12" s="178"/>
      <c r="AY12" s="178"/>
      <c r="AZ12" s="177"/>
      <c r="BA12" s="174"/>
      <c r="BB12" s="180"/>
      <c r="BC12" s="50" t="e">
        <f>AVERAGE(F12:AU12)</f>
        <v>#DIV/0!</v>
      </c>
      <c r="BD12" s="173"/>
      <c r="BE12" s="261"/>
      <c r="BF12" s="22"/>
      <c r="BG12" s="236"/>
      <c r="BH12" s="236"/>
      <c r="BI12" s="88"/>
      <c r="BJ12" s="88"/>
      <c r="BK12" s="164"/>
      <c r="BL12" s="165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65"/>
    </row>
    <row r="13" spans="1:80" ht="18" customHeight="1" thickBot="1" thickTop="1">
      <c r="A13" s="255">
        <f>VLOOKUP(C13,Исходник!$A$3:$R$44,18,FALSE)</f>
        <v>60</v>
      </c>
      <c r="B13" s="84"/>
      <c r="C13" s="166" t="str">
        <f>VLOOKUP(B14,Исходник!$X$3:$AY$44,28,FALSE)</f>
        <v>Новоселов Павел
СФДМ, Москва</v>
      </c>
      <c r="D13" s="166"/>
      <c r="E13" s="167"/>
      <c r="F13" s="38"/>
      <c r="G13" s="188"/>
      <c r="H13" s="189"/>
      <c r="I13" s="38"/>
      <c r="J13" s="188"/>
      <c r="K13" s="189"/>
      <c r="L13" s="26"/>
      <c r="M13" s="211"/>
      <c r="N13" s="212"/>
      <c r="O13" s="38"/>
      <c r="P13" s="188"/>
      <c r="Q13" s="189"/>
      <c r="R13" s="38"/>
      <c r="S13" s="188"/>
      <c r="T13" s="189"/>
      <c r="U13" s="38"/>
      <c r="V13" s="188"/>
      <c r="W13" s="189"/>
      <c r="X13" s="38"/>
      <c r="Y13" s="188"/>
      <c r="Z13" s="189"/>
      <c r="AA13" s="38"/>
      <c r="AB13" s="188"/>
      <c r="AC13" s="189"/>
      <c r="AD13" s="38"/>
      <c r="AE13" s="188"/>
      <c r="AF13" s="189"/>
      <c r="AG13" s="38"/>
      <c r="AH13" s="188"/>
      <c r="AI13" s="189"/>
      <c r="AJ13" s="38"/>
      <c r="AK13" s="188"/>
      <c r="AL13" s="189"/>
      <c r="AM13" s="38"/>
      <c r="AN13" s="188"/>
      <c r="AO13" s="189"/>
      <c r="AP13" s="38"/>
      <c r="AQ13" s="188"/>
      <c r="AR13" s="189"/>
      <c r="AS13" s="38"/>
      <c r="AT13" s="188"/>
      <c r="AU13" s="189"/>
      <c r="AV13" s="201">
        <f>COUNTIF(F14:AU14,"в")</f>
        <v>0</v>
      </c>
      <c r="AW13" s="179">
        <f>F14+I14+L14+O14+R14+U14+X14+AA14+AD14+AG14+AJ14+AM14+AP14+AS14</f>
        <v>0</v>
      </c>
      <c r="AX13" s="184" t="s">
        <v>2</v>
      </c>
      <c r="AY13" s="183">
        <f>AU14+AR14+AO14+AL14+AI14+AF14+AC14+Z14+W14+T14+Q14+N14+K14+H14</f>
        <v>0</v>
      </c>
      <c r="AZ13" s="175">
        <f>IF(BL13=0,0,RANK(BL13,$BL$7:$BL$48,0))</f>
        <v>0</v>
      </c>
      <c r="BA13" s="174">
        <f>IF(BL13=0,0,VLOOKUP(AZ13,$BG$7:$BH$48,2,FALSE))</f>
        <v>0</v>
      </c>
      <c r="BB13" s="180">
        <f>A13+BA13</f>
        <v>60</v>
      </c>
      <c r="BC13" s="39" t="e">
        <f>AVERAGE(G13,J13,M13,P13,S13,V13,Y13,AB13,AE13,AH13,AK13,AN13,AQ13,AT13)</f>
        <v>#DIV/0!</v>
      </c>
      <c r="BD13" s="172">
        <f>F13+AS13+AP13+AM13+AJ13+AG13+AD13+AA13+X13+U13+R13+O13+L13+I13</f>
        <v>0</v>
      </c>
      <c r="BE13" s="259"/>
      <c r="BF13" s="22"/>
      <c r="BG13" s="236">
        <v>3</v>
      </c>
      <c r="BH13" s="236">
        <v>23</v>
      </c>
      <c r="BI13" s="88"/>
      <c r="BJ13" s="88"/>
      <c r="BK13" s="164">
        <f>IF((AV13+AW15*0.001)=0,0,AV13+AW15*0.001+1)</f>
        <v>0</v>
      </c>
      <c r="BL13" s="165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165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56"/>
      <c r="B14" s="85">
        <v>3</v>
      </c>
      <c r="C14" s="168"/>
      <c r="D14" s="168"/>
      <c r="E14" s="169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202"/>
      <c r="AW14" s="179"/>
      <c r="AX14" s="184"/>
      <c r="AY14" s="183"/>
      <c r="AZ14" s="176"/>
      <c r="BA14" s="174"/>
      <c r="BB14" s="180"/>
      <c r="BC14" s="44" t="e">
        <f>BC13*3</f>
        <v>#DIV/0!</v>
      </c>
      <c r="BD14" s="173"/>
      <c r="BE14" s="260"/>
      <c r="BF14" s="22"/>
      <c r="BG14" s="236"/>
      <c r="BH14" s="236"/>
      <c r="BI14" s="88"/>
      <c r="BJ14" s="88"/>
      <c r="BK14" s="164"/>
      <c r="BL14" s="165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65"/>
    </row>
    <row r="15" spans="1:80" ht="18" customHeight="1" thickBot="1" thickTop="1">
      <c r="A15" s="257"/>
      <c r="B15" s="86"/>
      <c r="C15" s="170"/>
      <c r="D15" s="170"/>
      <c r="E15" s="171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203"/>
      <c r="AW15" s="178">
        <f>AW13-AY13</f>
        <v>0</v>
      </c>
      <c r="AX15" s="178"/>
      <c r="AY15" s="178"/>
      <c r="AZ15" s="177"/>
      <c r="BA15" s="174"/>
      <c r="BB15" s="180"/>
      <c r="BC15" s="50" t="e">
        <f>AVERAGE(F15:AU15)</f>
        <v>#DIV/0!</v>
      </c>
      <c r="BD15" s="173"/>
      <c r="BE15" s="261"/>
      <c r="BF15" s="22"/>
      <c r="BG15" s="236"/>
      <c r="BH15" s="236"/>
      <c r="BI15" s="88"/>
      <c r="BJ15" s="88"/>
      <c r="BK15" s="164"/>
      <c r="BL15" s="165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65"/>
    </row>
    <row r="16" spans="1:80" ht="18" customHeight="1" thickBot="1" thickTop="1">
      <c r="A16" s="255">
        <f>VLOOKUP(C16,Исходник!$A$3:$R$44,18,FALSE)</f>
        <v>56</v>
      </c>
      <c r="B16" s="84"/>
      <c r="C16" s="166" t="str">
        <f>VLOOKUP(B17,Исходник!$X$3:$AY$44,28,FALSE)</f>
        <v>Соболев Артем
СФДМ, Москва</v>
      </c>
      <c r="D16" s="166"/>
      <c r="E16" s="167"/>
      <c r="F16" s="38"/>
      <c r="G16" s="188"/>
      <c r="H16" s="189"/>
      <c r="I16" s="51"/>
      <c r="J16" s="188"/>
      <c r="K16" s="189"/>
      <c r="L16" s="51"/>
      <c r="M16" s="188"/>
      <c r="N16" s="189"/>
      <c r="O16" s="26"/>
      <c r="P16" s="211"/>
      <c r="Q16" s="212"/>
      <c r="R16" s="38"/>
      <c r="S16" s="188"/>
      <c r="T16" s="189"/>
      <c r="U16" s="38"/>
      <c r="V16" s="188"/>
      <c r="W16" s="189"/>
      <c r="X16" s="38"/>
      <c r="Y16" s="188"/>
      <c r="Z16" s="189"/>
      <c r="AA16" s="38"/>
      <c r="AB16" s="188"/>
      <c r="AC16" s="189"/>
      <c r="AD16" s="38"/>
      <c r="AE16" s="188"/>
      <c r="AF16" s="189"/>
      <c r="AG16" s="38"/>
      <c r="AH16" s="188"/>
      <c r="AI16" s="189"/>
      <c r="AJ16" s="38"/>
      <c r="AK16" s="188"/>
      <c r="AL16" s="189"/>
      <c r="AM16" s="38"/>
      <c r="AN16" s="188"/>
      <c r="AO16" s="189"/>
      <c r="AP16" s="38"/>
      <c r="AQ16" s="188"/>
      <c r="AR16" s="189"/>
      <c r="AS16" s="38"/>
      <c r="AT16" s="188"/>
      <c r="AU16" s="189"/>
      <c r="AV16" s="201">
        <f>COUNTIF(F17:AU17,"в")</f>
        <v>0</v>
      </c>
      <c r="AW16" s="179">
        <f>F17+I17+L17+O17+R17+U17+X17+AA17+AD17+AG17+AJ17+AM17+AP17+AS17</f>
        <v>0</v>
      </c>
      <c r="AX16" s="184" t="s">
        <v>2</v>
      </c>
      <c r="AY16" s="183">
        <f>AU17+AR17+AO17+AL17+AI17+AF17+AC17+Z17+W17+T17+Q17+N17+K17+H17</f>
        <v>0</v>
      </c>
      <c r="AZ16" s="175">
        <f>IF(BL16=0,0,RANK(BL16,$BL$7:$BL$48,0))</f>
        <v>0</v>
      </c>
      <c r="BA16" s="174">
        <f>IF(BL16=0,0,VLOOKUP(AZ16,$BG$7:$BH$48,2,FALSE))</f>
        <v>0</v>
      </c>
      <c r="BB16" s="180">
        <f>A16+BA16</f>
        <v>56</v>
      </c>
      <c r="BC16" s="39" t="e">
        <f>AVERAGE(G16,J16,M16,P16,S16,V16,Y16,AB16,AE16,AH16,AK16,AN16,AQ16,AT16)</f>
        <v>#DIV/0!</v>
      </c>
      <c r="BD16" s="172">
        <f>F16+AS16+AP16+AM16+AJ16+AG16+AD16+AA16+X16+U16+R16+O16+L16+I16</f>
        <v>0</v>
      </c>
      <c r="BE16" s="262"/>
      <c r="BF16" s="22"/>
      <c r="BG16" s="236">
        <v>4</v>
      </c>
      <c r="BH16" s="236">
        <v>20</v>
      </c>
      <c r="BI16" s="88"/>
      <c r="BJ16" s="88"/>
      <c r="BK16" s="164">
        <f>IF((AV16+AW18*0.001)=0,0,AV16+AW18*0.001+1)</f>
        <v>0</v>
      </c>
      <c r="BL16" s="165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165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56"/>
      <c r="B17" s="85">
        <v>4</v>
      </c>
      <c r="C17" s="168"/>
      <c r="D17" s="168"/>
      <c r="E17" s="169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202"/>
      <c r="AW17" s="179"/>
      <c r="AX17" s="184"/>
      <c r="AY17" s="183"/>
      <c r="AZ17" s="176"/>
      <c r="BA17" s="174"/>
      <c r="BB17" s="180"/>
      <c r="BC17" s="44" t="e">
        <f>BC16*3</f>
        <v>#DIV/0!</v>
      </c>
      <c r="BD17" s="173"/>
      <c r="BE17" s="260"/>
      <c r="BF17" s="22"/>
      <c r="BG17" s="236"/>
      <c r="BH17" s="236"/>
      <c r="BI17" s="88"/>
      <c r="BJ17" s="88"/>
      <c r="BK17" s="164"/>
      <c r="BL17" s="165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65"/>
    </row>
    <row r="18" spans="1:80" ht="18" customHeight="1" thickBot="1" thickTop="1">
      <c r="A18" s="257"/>
      <c r="B18" s="86"/>
      <c r="C18" s="170"/>
      <c r="D18" s="170"/>
      <c r="E18" s="171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203"/>
      <c r="AW18" s="178">
        <f>AW16-AY16</f>
        <v>0</v>
      </c>
      <c r="AX18" s="178"/>
      <c r="AY18" s="178"/>
      <c r="AZ18" s="177"/>
      <c r="BA18" s="174"/>
      <c r="BB18" s="180"/>
      <c r="BC18" s="50" t="e">
        <f>AVERAGE(F18:AU18)</f>
        <v>#DIV/0!</v>
      </c>
      <c r="BD18" s="173"/>
      <c r="BE18" s="261"/>
      <c r="BF18" s="22"/>
      <c r="BG18" s="236"/>
      <c r="BH18" s="236"/>
      <c r="BI18" s="88"/>
      <c r="BJ18" s="88"/>
      <c r="BK18" s="164"/>
      <c r="BL18" s="165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65"/>
    </row>
    <row r="19" spans="1:80" ht="18" customHeight="1" thickBot="1" thickTop="1">
      <c r="A19" s="255">
        <f>VLOOKUP(C19,Исходник!$A$3:$R$44,18,FALSE)</f>
        <v>55</v>
      </c>
      <c r="B19" s="84"/>
      <c r="C19" s="166" t="str">
        <f>VLOOKUP(B20,Исходник!$X$3:$AY$44,28,FALSE)</f>
        <v>Хроменко Олег
СФДМ, Москва</v>
      </c>
      <c r="D19" s="166"/>
      <c r="E19" s="167"/>
      <c r="F19" s="38"/>
      <c r="G19" s="228"/>
      <c r="H19" s="229"/>
      <c r="I19" s="38"/>
      <c r="J19" s="228"/>
      <c r="K19" s="229"/>
      <c r="L19" s="38"/>
      <c r="M19" s="228"/>
      <c r="N19" s="229"/>
      <c r="O19" s="38"/>
      <c r="P19" s="228"/>
      <c r="Q19" s="229"/>
      <c r="R19" s="26"/>
      <c r="S19" s="211"/>
      <c r="T19" s="212"/>
      <c r="U19" s="38"/>
      <c r="V19" s="188"/>
      <c r="W19" s="189"/>
      <c r="X19" s="38"/>
      <c r="Y19" s="188"/>
      <c r="Z19" s="189"/>
      <c r="AA19" s="38"/>
      <c r="AB19" s="188"/>
      <c r="AC19" s="189"/>
      <c r="AD19" s="38"/>
      <c r="AE19" s="188"/>
      <c r="AF19" s="189"/>
      <c r="AG19" s="38"/>
      <c r="AH19" s="188"/>
      <c r="AI19" s="189"/>
      <c r="AJ19" s="38"/>
      <c r="AK19" s="188"/>
      <c r="AL19" s="189"/>
      <c r="AM19" s="38"/>
      <c r="AN19" s="188"/>
      <c r="AO19" s="189"/>
      <c r="AP19" s="38"/>
      <c r="AQ19" s="188"/>
      <c r="AR19" s="189"/>
      <c r="AS19" s="38"/>
      <c r="AT19" s="188"/>
      <c r="AU19" s="189"/>
      <c r="AV19" s="201">
        <f>COUNTIF(F20:AU20,"в")</f>
        <v>0</v>
      </c>
      <c r="AW19" s="179">
        <f>F20+I20+L20+O20+R20+U20+X20+AA20+AD20+AG20+AJ20+AM20+AP20+AS20</f>
        <v>0</v>
      </c>
      <c r="AX19" s="184" t="s">
        <v>2</v>
      </c>
      <c r="AY19" s="183">
        <f>AU20+AR20+AO20+AL20+AI20+AF20+AC20+Z20+W20+T20+Q20+N20+K20+H20</f>
        <v>0</v>
      </c>
      <c r="AZ19" s="175">
        <f>IF(BL19=0,0,RANK(BL19,$BL$7:$BL$48,0))</f>
        <v>0</v>
      </c>
      <c r="BA19" s="174">
        <f>IF(BL19=0,0,VLOOKUP(AZ19,$BG$7:$BH$48,2,FALSE))</f>
        <v>0</v>
      </c>
      <c r="BB19" s="180">
        <f>A19+BA19</f>
        <v>55</v>
      </c>
      <c r="BC19" s="39" t="e">
        <f>AVERAGE(G19,J19,M19,P19,S19,V19,Y19,AB19,AE19,AH19,AK19,AN19,AQ19,AT19)</f>
        <v>#DIV/0!</v>
      </c>
      <c r="BD19" s="172">
        <f>F19+AS19+AP19+AM19+AJ19+AG19+AD19+AA19+X19+U19+R19+O19+L19+I19</f>
        <v>0</v>
      </c>
      <c r="BE19" s="262"/>
      <c r="BF19" s="22"/>
      <c r="BG19" s="236">
        <v>5</v>
      </c>
      <c r="BH19" s="236">
        <v>17</v>
      </c>
      <c r="BI19" s="88"/>
      <c r="BJ19" s="88"/>
      <c r="BK19" s="164">
        <f>IF((AV19+AW21*0.001)=0,0,AV19+AW21*0.001+1)</f>
        <v>0</v>
      </c>
      <c r="BL19" s="165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165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56"/>
      <c r="B20" s="85">
        <v>5</v>
      </c>
      <c r="C20" s="168"/>
      <c r="D20" s="168"/>
      <c r="E20" s="169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202"/>
      <c r="AW20" s="179"/>
      <c r="AX20" s="184"/>
      <c r="AY20" s="183"/>
      <c r="AZ20" s="176"/>
      <c r="BA20" s="174"/>
      <c r="BB20" s="180"/>
      <c r="BC20" s="44" t="e">
        <f>BC19*3</f>
        <v>#DIV/0!</v>
      </c>
      <c r="BD20" s="173"/>
      <c r="BE20" s="260"/>
      <c r="BF20" s="22"/>
      <c r="BG20" s="236"/>
      <c r="BH20" s="236"/>
      <c r="BI20" s="88"/>
      <c r="BJ20" s="88"/>
      <c r="BK20" s="164"/>
      <c r="BL20" s="165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65"/>
    </row>
    <row r="21" spans="1:80" ht="18" customHeight="1" thickBot="1" thickTop="1">
      <c r="A21" s="257"/>
      <c r="B21" s="86"/>
      <c r="C21" s="170"/>
      <c r="D21" s="170"/>
      <c r="E21" s="171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203"/>
      <c r="AW21" s="178">
        <f>AW19-AY19</f>
        <v>0</v>
      </c>
      <c r="AX21" s="178"/>
      <c r="AY21" s="178"/>
      <c r="AZ21" s="177"/>
      <c r="BA21" s="174"/>
      <c r="BB21" s="180"/>
      <c r="BC21" s="50" t="e">
        <f>AVERAGE(F21:AU21)</f>
        <v>#DIV/0!</v>
      </c>
      <c r="BD21" s="173"/>
      <c r="BE21" s="261"/>
      <c r="BF21" s="22"/>
      <c r="BG21" s="236"/>
      <c r="BH21" s="236"/>
      <c r="BI21" s="88"/>
      <c r="BJ21" s="88"/>
      <c r="BK21" s="164"/>
      <c r="BL21" s="165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65"/>
    </row>
    <row r="22" spans="1:80" ht="18" customHeight="1" thickBot="1" thickTop="1">
      <c r="A22" s="255">
        <f>VLOOKUP(C22,Исходник!$A$3:$R$44,18,FALSE)</f>
        <v>42</v>
      </c>
      <c r="B22" s="84"/>
      <c r="C22" s="166" t="str">
        <f>VLOOKUP(B23,Исходник!$X$3:$AY$44,28,FALSE)</f>
        <v>Дераков Евгений
СФДМ, Москва</v>
      </c>
      <c r="D22" s="166"/>
      <c r="E22" s="167"/>
      <c r="F22" s="38"/>
      <c r="G22" s="188"/>
      <c r="H22" s="189"/>
      <c r="I22" s="38"/>
      <c r="J22" s="188"/>
      <c r="K22" s="189"/>
      <c r="L22" s="38"/>
      <c r="M22" s="188"/>
      <c r="N22" s="189"/>
      <c r="O22" s="38"/>
      <c r="P22" s="188"/>
      <c r="Q22" s="189"/>
      <c r="R22" s="38"/>
      <c r="S22" s="188"/>
      <c r="T22" s="189"/>
      <c r="U22" s="26"/>
      <c r="V22" s="211"/>
      <c r="W22" s="212"/>
      <c r="X22" s="38"/>
      <c r="Y22" s="188"/>
      <c r="Z22" s="189"/>
      <c r="AA22" s="38"/>
      <c r="AB22" s="188"/>
      <c r="AC22" s="189"/>
      <c r="AD22" s="38"/>
      <c r="AE22" s="188"/>
      <c r="AF22" s="189"/>
      <c r="AG22" s="38"/>
      <c r="AH22" s="188"/>
      <c r="AI22" s="189"/>
      <c r="AJ22" s="38"/>
      <c r="AK22" s="188"/>
      <c r="AL22" s="189"/>
      <c r="AM22" s="38"/>
      <c r="AN22" s="188"/>
      <c r="AO22" s="189"/>
      <c r="AP22" s="38"/>
      <c r="AQ22" s="188"/>
      <c r="AR22" s="189"/>
      <c r="AS22" s="38"/>
      <c r="AT22" s="188"/>
      <c r="AU22" s="189"/>
      <c r="AV22" s="201">
        <f>COUNTIF(F23:AU23,"в")</f>
        <v>0</v>
      </c>
      <c r="AW22" s="179">
        <f>F23+I23+L23+O23+R23+U23+X23+AA23+AD23+AG23+AJ23+AM23+AP23+AS23</f>
        <v>0</v>
      </c>
      <c r="AX22" s="184" t="s">
        <v>2</v>
      </c>
      <c r="AY22" s="183">
        <f>AU23+AR23+AO23+AL23+AI23+AF23+AC23+Z23+W23+T23+Q23+N23+K23+H23</f>
        <v>0</v>
      </c>
      <c r="AZ22" s="175">
        <f>IF(BL22=0,0,RANK(BL22,$BL$7:$BL$48,0))</f>
        <v>0</v>
      </c>
      <c r="BA22" s="174">
        <f>IF(BL22=0,0,VLOOKUP(AZ22,$BG$7:$BH$48,2,FALSE))</f>
        <v>0</v>
      </c>
      <c r="BB22" s="180">
        <f>A22+BA22</f>
        <v>42</v>
      </c>
      <c r="BC22" s="39" t="e">
        <f>AVERAGE(G22,J22,M22,P22,S22,V22,Y22,AB22,AE22,AH22,AK22,AN22,AQ22,AT22)</f>
        <v>#DIV/0!</v>
      </c>
      <c r="BD22" s="172">
        <f>F22+AS22+AP22+AM22+AJ22+AG22+AD22+AA22+X22+U22+R22+O22+L22+I22</f>
        <v>0</v>
      </c>
      <c r="BE22" s="259"/>
      <c r="BF22" s="22"/>
      <c r="BG22" s="236">
        <v>6</v>
      </c>
      <c r="BH22" s="236">
        <v>15</v>
      </c>
      <c r="BI22" s="88"/>
      <c r="BJ22" s="88"/>
      <c r="BK22" s="164">
        <f>IF((AV22+AW24*0.001)=0,0,AV22+AW24*0.001+1)</f>
        <v>0</v>
      </c>
      <c r="BL22" s="165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165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56"/>
      <c r="B23" s="85">
        <v>6</v>
      </c>
      <c r="C23" s="168"/>
      <c r="D23" s="168"/>
      <c r="E23" s="169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202"/>
      <c r="AW23" s="179"/>
      <c r="AX23" s="184"/>
      <c r="AY23" s="183"/>
      <c r="AZ23" s="176"/>
      <c r="BA23" s="174"/>
      <c r="BB23" s="180"/>
      <c r="BC23" s="44" t="e">
        <f>BC22*3</f>
        <v>#DIV/0!</v>
      </c>
      <c r="BD23" s="173"/>
      <c r="BE23" s="260"/>
      <c r="BF23" s="22"/>
      <c r="BG23" s="236"/>
      <c r="BH23" s="236"/>
      <c r="BI23" s="88"/>
      <c r="BJ23" s="88"/>
      <c r="BK23" s="164"/>
      <c r="BL23" s="165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65"/>
    </row>
    <row r="24" spans="1:80" ht="18" customHeight="1" thickBot="1" thickTop="1">
      <c r="A24" s="257"/>
      <c r="B24" s="86"/>
      <c r="C24" s="170"/>
      <c r="D24" s="170"/>
      <c r="E24" s="171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203"/>
      <c r="AW24" s="178">
        <f>AW22-AY22</f>
        <v>0</v>
      </c>
      <c r="AX24" s="178"/>
      <c r="AY24" s="178"/>
      <c r="AZ24" s="177"/>
      <c r="BA24" s="174"/>
      <c r="BB24" s="180"/>
      <c r="BC24" s="50" t="e">
        <f>AVERAGE(F24:AU24)</f>
        <v>#DIV/0!</v>
      </c>
      <c r="BD24" s="173"/>
      <c r="BE24" s="261"/>
      <c r="BF24" s="22"/>
      <c r="BG24" s="236"/>
      <c r="BH24" s="236"/>
      <c r="BI24" s="88"/>
      <c r="BJ24" s="88"/>
      <c r="BK24" s="164"/>
      <c r="BL24" s="165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65"/>
    </row>
    <row r="25" spans="1:80" ht="18" customHeight="1" thickBot="1" thickTop="1">
      <c r="A25" s="255">
        <f>VLOOKUP(C25,Исходник!$A$3:$R$44,18,FALSE)</f>
        <v>36</v>
      </c>
      <c r="B25" s="84"/>
      <c r="C25" s="166" t="str">
        <f>VLOOKUP(B26,Исходник!$X$3:$AY$44,28,FALSE)</f>
        <v>Борисов Андрей
СФДМ, Москва</v>
      </c>
      <c r="D25" s="166"/>
      <c r="E25" s="167"/>
      <c r="F25" s="38"/>
      <c r="G25" s="188"/>
      <c r="H25" s="189"/>
      <c r="I25" s="38"/>
      <c r="J25" s="188"/>
      <c r="K25" s="189"/>
      <c r="L25" s="38"/>
      <c r="M25" s="188"/>
      <c r="N25" s="189"/>
      <c r="O25" s="38"/>
      <c r="P25" s="188"/>
      <c r="Q25" s="189"/>
      <c r="R25" s="38"/>
      <c r="S25" s="188"/>
      <c r="T25" s="189"/>
      <c r="U25" s="38"/>
      <c r="V25" s="188"/>
      <c r="W25" s="189"/>
      <c r="X25" s="26"/>
      <c r="Y25" s="211"/>
      <c r="Z25" s="212"/>
      <c r="AA25" s="38"/>
      <c r="AB25" s="188"/>
      <c r="AC25" s="189"/>
      <c r="AD25" s="38"/>
      <c r="AE25" s="188"/>
      <c r="AF25" s="189"/>
      <c r="AG25" s="38"/>
      <c r="AH25" s="188"/>
      <c r="AI25" s="189"/>
      <c r="AJ25" s="38"/>
      <c r="AK25" s="188"/>
      <c r="AL25" s="189"/>
      <c r="AM25" s="38"/>
      <c r="AN25" s="188"/>
      <c r="AO25" s="189"/>
      <c r="AP25" s="38"/>
      <c r="AQ25" s="188"/>
      <c r="AR25" s="189"/>
      <c r="AS25" s="38"/>
      <c r="AT25" s="188"/>
      <c r="AU25" s="189"/>
      <c r="AV25" s="201">
        <f>COUNTIF(F26:AU26,"в")</f>
        <v>0</v>
      </c>
      <c r="AW25" s="179">
        <f>F26+I26+L26+O26+R26+U26+X26+AA26+AD26+AG26+AJ26+AM26+AP26+AS26</f>
        <v>0</v>
      </c>
      <c r="AX25" s="184" t="s">
        <v>2</v>
      </c>
      <c r="AY25" s="183">
        <f>AU26+AR26+AO26+AL26+AI26+AF26+AC26+Z26+W26+T26+Q26+N26+K26+H26</f>
        <v>0</v>
      </c>
      <c r="AZ25" s="175">
        <f>IF(BL25=0,0,RANK(BL25,$BL$7:$BL$48,0))</f>
        <v>0</v>
      </c>
      <c r="BA25" s="174">
        <f>IF(BL25=0,0,VLOOKUP(AZ25,$BG$7:$BH$48,2,FALSE))</f>
        <v>0</v>
      </c>
      <c r="BB25" s="180">
        <f>A25+BA25</f>
        <v>36</v>
      </c>
      <c r="BC25" s="39" t="e">
        <f>AVERAGE(G25,J25,M25,P25,S25,V25,Y25,AB25,AE25,AH25,AK25,AN25,AQ25,AT25)</f>
        <v>#DIV/0!</v>
      </c>
      <c r="BD25" s="172">
        <f>F25+AS25+AP25+AM25+AJ25+AG25+AD25+AA25+X25+U25+R25+O25+L25+I25</f>
        <v>0</v>
      </c>
      <c r="BE25" s="262"/>
      <c r="BF25" s="22"/>
      <c r="BG25" s="236">
        <v>7</v>
      </c>
      <c r="BH25" s="236">
        <v>13</v>
      </c>
      <c r="BI25" s="88"/>
      <c r="BJ25" s="88"/>
      <c r="BK25" s="164">
        <f>IF((AV25+AW27*0.001)=0,0,AV25+AW27*0.001+1)</f>
        <v>0</v>
      </c>
      <c r="BL25" s="165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165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56"/>
      <c r="B26" s="85">
        <v>7</v>
      </c>
      <c r="C26" s="168"/>
      <c r="D26" s="168"/>
      <c r="E26" s="169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202"/>
      <c r="AW26" s="179"/>
      <c r="AX26" s="184"/>
      <c r="AY26" s="183"/>
      <c r="AZ26" s="176"/>
      <c r="BA26" s="174"/>
      <c r="BB26" s="180"/>
      <c r="BC26" s="44" t="e">
        <f>BC25*3</f>
        <v>#DIV/0!</v>
      </c>
      <c r="BD26" s="173"/>
      <c r="BE26" s="260"/>
      <c r="BF26" s="22"/>
      <c r="BG26" s="236"/>
      <c r="BH26" s="236"/>
      <c r="BI26" s="88"/>
      <c r="BJ26" s="88"/>
      <c r="BK26" s="164"/>
      <c r="BL26" s="165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65"/>
    </row>
    <row r="27" spans="1:80" ht="18" customHeight="1" thickBot="1" thickTop="1">
      <c r="A27" s="257"/>
      <c r="B27" s="86"/>
      <c r="C27" s="170"/>
      <c r="D27" s="170"/>
      <c r="E27" s="171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203"/>
      <c r="AW27" s="178">
        <f>AW25-AY25</f>
        <v>0</v>
      </c>
      <c r="AX27" s="178"/>
      <c r="AY27" s="178"/>
      <c r="AZ27" s="177"/>
      <c r="BA27" s="174"/>
      <c r="BB27" s="180"/>
      <c r="BC27" s="50" t="e">
        <f>AVERAGE(F27:AU27)</f>
        <v>#DIV/0!</v>
      </c>
      <c r="BD27" s="173"/>
      <c r="BE27" s="261"/>
      <c r="BF27" s="22"/>
      <c r="BG27" s="236"/>
      <c r="BH27" s="236"/>
      <c r="BI27" s="88"/>
      <c r="BJ27" s="88"/>
      <c r="BK27" s="164"/>
      <c r="BL27" s="165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65"/>
    </row>
    <row r="28" spans="1:80" ht="18" customHeight="1" thickBot="1" thickTop="1">
      <c r="A28" s="255">
        <f>VLOOKUP(C28,Исходник!$A$3:$R$44,18,FALSE)</f>
        <v>29</v>
      </c>
      <c r="B28" s="84"/>
      <c r="C28" s="166" t="str">
        <f>VLOOKUP(B29,Исходник!$X$3:$AY$44,28,FALSE)</f>
        <v>Колпаков Олег
СФДМ, Москва</v>
      </c>
      <c r="D28" s="166"/>
      <c r="E28" s="167"/>
      <c r="F28" s="51"/>
      <c r="G28" s="188"/>
      <c r="H28" s="189"/>
      <c r="I28" s="38"/>
      <c r="J28" s="188"/>
      <c r="K28" s="189"/>
      <c r="L28" s="38"/>
      <c r="M28" s="188"/>
      <c r="N28" s="189"/>
      <c r="O28" s="38"/>
      <c r="P28" s="188"/>
      <c r="Q28" s="189"/>
      <c r="R28" s="51"/>
      <c r="S28" s="188"/>
      <c r="T28" s="189"/>
      <c r="U28" s="38"/>
      <c r="V28" s="188"/>
      <c r="W28" s="189"/>
      <c r="X28" s="38"/>
      <c r="Y28" s="188"/>
      <c r="Z28" s="189"/>
      <c r="AA28" s="26"/>
      <c r="AB28" s="211"/>
      <c r="AC28" s="212"/>
      <c r="AD28" s="38"/>
      <c r="AE28" s="188"/>
      <c r="AF28" s="189"/>
      <c r="AG28" s="38"/>
      <c r="AH28" s="188"/>
      <c r="AI28" s="189"/>
      <c r="AJ28" s="38"/>
      <c r="AK28" s="188"/>
      <c r="AL28" s="189"/>
      <c r="AM28" s="38"/>
      <c r="AN28" s="188"/>
      <c r="AO28" s="189"/>
      <c r="AP28" s="38"/>
      <c r="AQ28" s="188"/>
      <c r="AR28" s="189"/>
      <c r="AS28" s="38"/>
      <c r="AT28" s="188"/>
      <c r="AU28" s="189"/>
      <c r="AV28" s="201">
        <f>COUNTIF(F29:AU29,"в")</f>
        <v>0</v>
      </c>
      <c r="AW28" s="179">
        <f>F29+I29+L29+O29+R29+U29+X29+AA29+AD29+AG29+AJ29+AM29+AP29+AS29</f>
        <v>0</v>
      </c>
      <c r="AX28" s="184" t="s">
        <v>2</v>
      </c>
      <c r="AY28" s="183">
        <f>AU29+AR29+AO29+AL29+AI29+AF29+AC29+Z29+W29+T29+Q29+N29+K29+H29</f>
        <v>0</v>
      </c>
      <c r="AZ28" s="175">
        <f>IF(BL28=0,0,RANK(BL28,$BL$7:$BL$48,0))</f>
        <v>0</v>
      </c>
      <c r="BA28" s="174">
        <f>IF(BL28=0,0,VLOOKUP(AZ28,$BG$7:$BH$48,2,FALSE))</f>
        <v>0</v>
      </c>
      <c r="BB28" s="180">
        <f>A28+BA28</f>
        <v>29</v>
      </c>
      <c r="BC28" s="39" t="e">
        <f>AVERAGE(G28,J28,M28,P28,S28,V28,Y28,AB28,AE28,AH28,AK28,AN28,AQ28,AT28)</f>
        <v>#DIV/0!</v>
      </c>
      <c r="BD28" s="172">
        <f>F28+AS28+AP28+AM28+AJ28+AG28+AD28+AA28+X28+U28+R28+O28+L28+I28</f>
        <v>0</v>
      </c>
      <c r="BE28" s="262"/>
      <c r="BF28" s="22"/>
      <c r="BG28" s="236">
        <v>8</v>
      </c>
      <c r="BH28" s="236">
        <v>12</v>
      </c>
      <c r="BI28" s="88"/>
      <c r="BJ28" s="88"/>
      <c r="BK28" s="164">
        <f>IF((AV28+AW30*0.001)=0,0,AV28+AW30*0.001+1)</f>
        <v>0</v>
      </c>
      <c r="BL28" s="165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165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56"/>
      <c r="B29" s="85">
        <v>8</v>
      </c>
      <c r="C29" s="168"/>
      <c r="D29" s="168"/>
      <c r="E29" s="169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202"/>
      <c r="AW29" s="179"/>
      <c r="AX29" s="184"/>
      <c r="AY29" s="183"/>
      <c r="AZ29" s="176"/>
      <c r="BA29" s="174"/>
      <c r="BB29" s="180"/>
      <c r="BC29" s="44" t="e">
        <f>BC28*3</f>
        <v>#DIV/0!</v>
      </c>
      <c r="BD29" s="173"/>
      <c r="BE29" s="260"/>
      <c r="BF29" s="22"/>
      <c r="BG29" s="236"/>
      <c r="BH29" s="236"/>
      <c r="BI29" s="88"/>
      <c r="BJ29" s="88"/>
      <c r="BK29" s="164"/>
      <c r="BL29" s="165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65"/>
    </row>
    <row r="30" spans="1:80" ht="18" customHeight="1" thickBot="1" thickTop="1">
      <c r="A30" s="257"/>
      <c r="B30" s="86"/>
      <c r="C30" s="170"/>
      <c r="D30" s="170"/>
      <c r="E30" s="171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203"/>
      <c r="AW30" s="178">
        <f>AW28-AY28</f>
        <v>0</v>
      </c>
      <c r="AX30" s="178"/>
      <c r="AY30" s="178"/>
      <c r="AZ30" s="177"/>
      <c r="BA30" s="174"/>
      <c r="BB30" s="180"/>
      <c r="BC30" s="50" t="e">
        <f>AVERAGE(F30:AU30)</f>
        <v>#DIV/0!</v>
      </c>
      <c r="BD30" s="173"/>
      <c r="BE30" s="261"/>
      <c r="BF30" s="22"/>
      <c r="BG30" s="236"/>
      <c r="BH30" s="236"/>
      <c r="BI30" s="88"/>
      <c r="BJ30" s="88"/>
      <c r="BK30" s="164"/>
      <c r="BL30" s="165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65"/>
    </row>
    <row r="31" spans="1:80" ht="18" customHeight="1" thickBot="1" thickTop="1">
      <c r="A31" s="255">
        <f>VLOOKUP(C31,Исходник!$A$3:$R$44,18,FALSE)</f>
        <v>28</v>
      </c>
      <c r="B31" s="84"/>
      <c r="C31" s="166" t="str">
        <f>VLOOKUP(B32,Исходник!$X$3:$AY$44,28,FALSE)</f>
        <v>Иванов Евгений
СФДМ, Красногорск</v>
      </c>
      <c r="D31" s="166"/>
      <c r="E31" s="167"/>
      <c r="F31" s="38"/>
      <c r="G31" s="188"/>
      <c r="H31" s="189"/>
      <c r="I31" s="38"/>
      <c r="J31" s="188"/>
      <c r="K31" s="189"/>
      <c r="L31" s="38"/>
      <c r="M31" s="188"/>
      <c r="N31" s="189"/>
      <c r="O31" s="38"/>
      <c r="P31" s="188"/>
      <c r="Q31" s="189"/>
      <c r="R31" s="38"/>
      <c r="S31" s="188"/>
      <c r="T31" s="189"/>
      <c r="U31" s="38"/>
      <c r="V31" s="188"/>
      <c r="W31" s="189"/>
      <c r="X31" s="38"/>
      <c r="Y31" s="188"/>
      <c r="Z31" s="189"/>
      <c r="AA31" s="38"/>
      <c r="AB31" s="188"/>
      <c r="AC31" s="189"/>
      <c r="AD31" s="26"/>
      <c r="AE31" s="211"/>
      <c r="AF31" s="212"/>
      <c r="AG31" s="38"/>
      <c r="AH31" s="188"/>
      <c r="AI31" s="189"/>
      <c r="AJ31" s="38"/>
      <c r="AK31" s="188"/>
      <c r="AL31" s="189"/>
      <c r="AM31" s="38"/>
      <c r="AN31" s="188"/>
      <c r="AO31" s="189"/>
      <c r="AP31" s="38"/>
      <c r="AQ31" s="188"/>
      <c r="AR31" s="189"/>
      <c r="AS31" s="38"/>
      <c r="AT31" s="188"/>
      <c r="AU31" s="189"/>
      <c r="AV31" s="201">
        <f>COUNTIF(F32:AU32,"в")</f>
        <v>0</v>
      </c>
      <c r="AW31" s="179">
        <f>F32+I32+L32+O32+R32+U32+X32+AA32+AD32+AG32+AJ32+AM32+AP32+AS32</f>
        <v>0</v>
      </c>
      <c r="AX31" s="184" t="s">
        <v>2</v>
      </c>
      <c r="AY31" s="183">
        <f>AU32+AR32+AO32+AL32+AI32+AF32+AC32+Z32+W32+T32+Q32+N32+K32+H32</f>
        <v>0</v>
      </c>
      <c r="AZ31" s="175">
        <f>IF(BL31=0,0,RANK(BL31,$BL$7:$BL$48,0))</f>
        <v>0</v>
      </c>
      <c r="BA31" s="174">
        <f>IF(BL31=0,0,VLOOKUP(AZ31,$BG$7:$BH$48,2,FALSE))</f>
        <v>0</v>
      </c>
      <c r="BB31" s="180">
        <f>A31+BA31</f>
        <v>28</v>
      </c>
      <c r="BC31" s="39" t="e">
        <f>AVERAGE(G31,J31,M31,P31,S31,V31,Y31,AB31,AE31,AH31,AK31,AN31,AQ31,AT31)</f>
        <v>#DIV/0!</v>
      </c>
      <c r="BD31" s="172">
        <f>F31+AS31+AP31+AM31+AJ31+AG31+AD31+AA31+X31+U31+R31+O31+L31+I31</f>
        <v>0</v>
      </c>
      <c r="BE31" s="262"/>
      <c r="BF31" s="22"/>
      <c r="BG31" s="236">
        <v>9</v>
      </c>
      <c r="BH31" s="236">
        <v>9</v>
      </c>
      <c r="BI31" s="88"/>
      <c r="BJ31" s="88"/>
      <c r="BK31" s="164">
        <f>IF((AV31+AW33*0.001)=0,0,AV31+AW33*0.001+1)</f>
        <v>0</v>
      </c>
      <c r="BL31" s="165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165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56"/>
      <c r="B32" s="85">
        <v>9</v>
      </c>
      <c r="C32" s="168"/>
      <c r="D32" s="168"/>
      <c r="E32" s="169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202"/>
      <c r="AW32" s="179"/>
      <c r="AX32" s="184"/>
      <c r="AY32" s="183"/>
      <c r="AZ32" s="176"/>
      <c r="BA32" s="174"/>
      <c r="BB32" s="180"/>
      <c r="BC32" s="44" t="e">
        <f>BC31*3</f>
        <v>#DIV/0!</v>
      </c>
      <c r="BD32" s="173"/>
      <c r="BE32" s="260"/>
      <c r="BF32" s="22"/>
      <c r="BG32" s="236"/>
      <c r="BH32" s="236"/>
      <c r="BI32" s="88"/>
      <c r="BJ32" s="88"/>
      <c r="BK32" s="164"/>
      <c r="BL32" s="165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65"/>
    </row>
    <row r="33" spans="1:80" ht="18" customHeight="1" thickBot="1" thickTop="1">
      <c r="A33" s="257"/>
      <c r="B33" s="86"/>
      <c r="C33" s="170"/>
      <c r="D33" s="170"/>
      <c r="E33" s="171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203"/>
      <c r="AW33" s="178">
        <f>AW31-AY31</f>
        <v>0</v>
      </c>
      <c r="AX33" s="178"/>
      <c r="AY33" s="178"/>
      <c r="AZ33" s="177"/>
      <c r="BA33" s="174"/>
      <c r="BB33" s="180"/>
      <c r="BC33" s="50" t="e">
        <f>AVERAGE(F33:AU33)</f>
        <v>#DIV/0!</v>
      </c>
      <c r="BD33" s="173"/>
      <c r="BE33" s="261"/>
      <c r="BF33" s="22"/>
      <c r="BG33" s="236"/>
      <c r="BH33" s="236"/>
      <c r="BI33" s="88"/>
      <c r="BJ33" s="88"/>
      <c r="BK33" s="164"/>
      <c r="BL33" s="165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65"/>
    </row>
    <row r="34" spans="1:80" ht="18" customHeight="1" thickBot="1" thickTop="1">
      <c r="A34" s="255">
        <f>VLOOKUP(C34,Исходник!$A$3:$R$44,18,FALSE)</f>
        <v>23</v>
      </c>
      <c r="B34" s="84"/>
      <c r="C34" s="166" t="str">
        <f>VLOOKUP(B35,Исходник!$X$3:$AY$44,28,FALSE)</f>
        <v>Конюхов Александр
СФДМ, Москва</v>
      </c>
      <c r="D34" s="166"/>
      <c r="E34" s="167"/>
      <c r="F34" s="51"/>
      <c r="G34" s="188"/>
      <c r="H34" s="189"/>
      <c r="I34" s="51"/>
      <c r="J34" s="188"/>
      <c r="K34" s="189"/>
      <c r="L34" s="51"/>
      <c r="M34" s="188"/>
      <c r="N34" s="189"/>
      <c r="O34" s="38"/>
      <c r="P34" s="188"/>
      <c r="Q34" s="189"/>
      <c r="R34" s="38"/>
      <c r="S34" s="188"/>
      <c r="T34" s="189"/>
      <c r="U34" s="51"/>
      <c r="V34" s="188"/>
      <c r="W34" s="189"/>
      <c r="X34" s="38"/>
      <c r="Y34" s="188"/>
      <c r="Z34" s="189"/>
      <c r="AA34" s="51"/>
      <c r="AB34" s="188"/>
      <c r="AC34" s="189"/>
      <c r="AD34" s="51"/>
      <c r="AE34" s="188"/>
      <c r="AF34" s="189"/>
      <c r="AG34" s="26"/>
      <c r="AH34" s="211"/>
      <c r="AI34" s="212"/>
      <c r="AJ34" s="38"/>
      <c r="AK34" s="188"/>
      <c r="AL34" s="189"/>
      <c r="AM34" s="38"/>
      <c r="AN34" s="188"/>
      <c r="AO34" s="189"/>
      <c r="AP34" s="38"/>
      <c r="AQ34" s="188"/>
      <c r="AR34" s="189"/>
      <c r="AS34" s="38"/>
      <c r="AT34" s="188"/>
      <c r="AU34" s="189"/>
      <c r="AV34" s="201">
        <f>COUNTIF(F35:AU35,"в")</f>
        <v>0</v>
      </c>
      <c r="AW34" s="179">
        <f>F35+I35+L35+O35+R35+U35+X35+AA35+AD35+AG35+AJ35+AM35+AP35+AS35</f>
        <v>0</v>
      </c>
      <c r="AX34" s="184" t="s">
        <v>2</v>
      </c>
      <c r="AY34" s="183">
        <f>AU35+AR35+AO35+AL35+AI35+AF35+AC35+Z35+W35+T35+Q35+N35+K35+H35</f>
        <v>0</v>
      </c>
      <c r="AZ34" s="175">
        <f>IF(BL34=0,0,RANK(BL34,$BL$7:$BL$48,0))</f>
        <v>0</v>
      </c>
      <c r="BA34" s="174">
        <f>IF(BL34=0,0,VLOOKUP(AZ34,$BG$7:$BH$48,2,FALSE))</f>
        <v>0</v>
      </c>
      <c r="BB34" s="180">
        <f>A34+BA34</f>
        <v>23</v>
      </c>
      <c r="BC34" s="39" t="e">
        <f>AVERAGE(G34,J34,M34,P34,S34,V34,Y34,AB34,AE34,AH34,AK34,AN34,AQ34,AT34)</f>
        <v>#DIV/0!</v>
      </c>
      <c r="BD34" s="172">
        <f>F34+AS34+AP34+AM34+AJ34+AG34+AD34+AA34+X34+U34+R34+O34+L34+I34</f>
        <v>0</v>
      </c>
      <c r="BE34" s="259"/>
      <c r="BF34" s="22"/>
      <c r="BG34" s="236">
        <v>10</v>
      </c>
      <c r="BH34" s="236">
        <v>8</v>
      </c>
      <c r="BI34" s="88"/>
      <c r="BJ34" s="88"/>
      <c r="BK34" s="164">
        <f>IF((AV34+AW36*0.001)=0,0,AV34+AW36*0.001+1)</f>
        <v>0</v>
      </c>
      <c r="BL34" s="165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165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56"/>
      <c r="B35" s="85">
        <v>10</v>
      </c>
      <c r="C35" s="168"/>
      <c r="D35" s="168"/>
      <c r="E35" s="169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202"/>
      <c r="AW35" s="179"/>
      <c r="AX35" s="184"/>
      <c r="AY35" s="183"/>
      <c r="AZ35" s="176"/>
      <c r="BA35" s="174"/>
      <c r="BB35" s="180"/>
      <c r="BC35" s="44" t="e">
        <f>BC34*3</f>
        <v>#DIV/0!</v>
      </c>
      <c r="BD35" s="173"/>
      <c r="BE35" s="260"/>
      <c r="BF35" s="22"/>
      <c r="BG35" s="236"/>
      <c r="BH35" s="236"/>
      <c r="BI35" s="88"/>
      <c r="BJ35" s="88"/>
      <c r="BK35" s="164"/>
      <c r="BL35" s="165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65"/>
    </row>
    <row r="36" spans="1:80" ht="18" customHeight="1" thickBot="1" thickTop="1">
      <c r="A36" s="257"/>
      <c r="B36" s="86"/>
      <c r="C36" s="170"/>
      <c r="D36" s="170"/>
      <c r="E36" s="171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203"/>
      <c r="AW36" s="178">
        <f>AW34-AY34</f>
        <v>0</v>
      </c>
      <c r="AX36" s="178"/>
      <c r="AY36" s="178"/>
      <c r="AZ36" s="177"/>
      <c r="BA36" s="174"/>
      <c r="BB36" s="180"/>
      <c r="BC36" s="50" t="e">
        <f>AVERAGE(F36:AU36)</f>
        <v>#DIV/0!</v>
      </c>
      <c r="BD36" s="173"/>
      <c r="BE36" s="261"/>
      <c r="BF36" s="22"/>
      <c r="BG36" s="236"/>
      <c r="BH36" s="236"/>
      <c r="BI36" s="88"/>
      <c r="BJ36" s="88"/>
      <c r="BK36" s="164"/>
      <c r="BL36" s="165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65"/>
    </row>
    <row r="37" spans="1:80" ht="18" customHeight="1" thickBot="1" thickTop="1">
      <c r="A37" s="255">
        <f>VLOOKUP(C37,Исходник!$A$3:$R$44,18,FALSE)</f>
        <v>20</v>
      </c>
      <c r="B37" s="84"/>
      <c r="C37" s="166" t="str">
        <f>VLOOKUP(B38,Исходник!$X$3:$AY$44,28,FALSE)</f>
        <v>Клочек Ксения
СФДМ, Москва</v>
      </c>
      <c r="D37" s="166"/>
      <c r="E37" s="167"/>
      <c r="F37" s="38"/>
      <c r="G37" s="188"/>
      <c r="H37" s="189"/>
      <c r="I37" s="38"/>
      <c r="J37" s="188"/>
      <c r="K37" s="189"/>
      <c r="L37" s="38"/>
      <c r="M37" s="188"/>
      <c r="N37" s="189"/>
      <c r="O37" s="38"/>
      <c r="P37" s="188"/>
      <c r="Q37" s="189"/>
      <c r="R37" s="38"/>
      <c r="S37" s="188"/>
      <c r="T37" s="189"/>
      <c r="U37" s="51"/>
      <c r="V37" s="188"/>
      <c r="W37" s="189"/>
      <c r="X37" s="51"/>
      <c r="Y37" s="188"/>
      <c r="Z37" s="189"/>
      <c r="AA37" s="38"/>
      <c r="AB37" s="188"/>
      <c r="AC37" s="189"/>
      <c r="AD37" s="51"/>
      <c r="AE37" s="188"/>
      <c r="AF37" s="189"/>
      <c r="AG37" s="38"/>
      <c r="AH37" s="188"/>
      <c r="AI37" s="189"/>
      <c r="AJ37" s="26"/>
      <c r="AK37" s="211"/>
      <c r="AL37" s="212"/>
      <c r="AM37" s="38"/>
      <c r="AN37" s="188"/>
      <c r="AO37" s="189"/>
      <c r="AP37" s="38"/>
      <c r="AQ37" s="188"/>
      <c r="AR37" s="189"/>
      <c r="AS37" s="38"/>
      <c r="AT37" s="188"/>
      <c r="AU37" s="189"/>
      <c r="AV37" s="201">
        <f>COUNTIF(F38:AU38,"в")</f>
        <v>0</v>
      </c>
      <c r="AW37" s="179">
        <f>F38+I38+L38+O38+R38+U38+X38+AA38+AD38+AG38+AJ38+AM38+AP38+AS38</f>
        <v>0</v>
      </c>
      <c r="AX37" s="184" t="s">
        <v>2</v>
      </c>
      <c r="AY37" s="183">
        <f>AU38+AR38+AO38+AL38+AI38+AF38+AC38+Z38+W38+T38+Q38+N38+K38+H38</f>
        <v>0</v>
      </c>
      <c r="AZ37" s="175">
        <f>IF(BL37=0,0,RANK(BL37,$BL$7:$BL$48,0))</f>
        <v>0</v>
      </c>
      <c r="BA37" s="174">
        <f>IF(BL37=0,0,VLOOKUP(AZ37,$BG$7:$BH$48,2,FALSE))</f>
        <v>0</v>
      </c>
      <c r="BB37" s="180">
        <f>A37+BA37</f>
        <v>20</v>
      </c>
      <c r="BC37" s="39" t="e">
        <f>AVERAGE(G37,J37,M37,P37,S37,V37,Y37,AB37,AE37,AH37,AK37,AN37,AQ37,AT37)</f>
        <v>#DIV/0!</v>
      </c>
      <c r="BD37" s="172">
        <f>F37+AS37+AP37+AM37+AJ37+AG37+AD37+AA37+X37+U37+R37+O37+L37+I37</f>
        <v>0</v>
      </c>
      <c r="BE37" s="262"/>
      <c r="BF37" s="22"/>
      <c r="BG37" s="236">
        <v>11</v>
      </c>
      <c r="BH37" s="236">
        <v>7</v>
      </c>
      <c r="BI37" s="88"/>
      <c r="BJ37" s="88"/>
      <c r="BK37" s="164">
        <f>IF((AV37+AW39*0.001)=0,0,AV37+AW39*0.001+1)</f>
        <v>0</v>
      </c>
      <c r="BL37" s="165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65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56"/>
      <c r="B38" s="85">
        <v>11</v>
      </c>
      <c r="C38" s="168"/>
      <c r="D38" s="168"/>
      <c r="E38" s="169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202"/>
      <c r="AW38" s="179"/>
      <c r="AX38" s="184"/>
      <c r="AY38" s="183"/>
      <c r="AZ38" s="176"/>
      <c r="BA38" s="174"/>
      <c r="BB38" s="180"/>
      <c r="BC38" s="44" t="e">
        <f>BC37*3</f>
        <v>#DIV/0!</v>
      </c>
      <c r="BD38" s="173"/>
      <c r="BE38" s="260"/>
      <c r="BF38" s="22"/>
      <c r="BG38" s="236"/>
      <c r="BH38" s="236"/>
      <c r="BI38" s="88"/>
      <c r="BJ38" s="88"/>
      <c r="BK38" s="164"/>
      <c r="BL38" s="165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65"/>
    </row>
    <row r="39" spans="1:80" ht="18" customHeight="1" thickBot="1" thickTop="1">
      <c r="A39" s="257"/>
      <c r="B39" s="86"/>
      <c r="C39" s="170"/>
      <c r="D39" s="170"/>
      <c r="E39" s="171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203"/>
      <c r="AW39" s="178">
        <f>AW37-AY37</f>
        <v>0</v>
      </c>
      <c r="AX39" s="178"/>
      <c r="AY39" s="178"/>
      <c r="AZ39" s="177"/>
      <c r="BA39" s="174"/>
      <c r="BB39" s="180"/>
      <c r="BC39" s="50" t="e">
        <f>AVERAGE(F39:AU39)</f>
        <v>#DIV/0!</v>
      </c>
      <c r="BD39" s="173"/>
      <c r="BE39" s="261"/>
      <c r="BF39" s="22"/>
      <c r="BG39" s="236"/>
      <c r="BH39" s="236"/>
      <c r="BI39" s="88"/>
      <c r="BJ39" s="88"/>
      <c r="BK39" s="164"/>
      <c r="BL39" s="165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65"/>
    </row>
    <row r="40" spans="1:80" ht="18" customHeight="1" thickBot="1" thickTop="1">
      <c r="A40" s="255">
        <f>VLOOKUP(C40,Исходник!$A$3:$R$44,18,FALSE)</f>
        <v>19</v>
      </c>
      <c r="B40" s="84"/>
      <c r="C40" s="166" t="str">
        <f>VLOOKUP(B41,Исходник!$X$3:$AY$44,28,FALSE)</f>
        <v>Ломов Аликус                      СФДМ, Москва</v>
      </c>
      <c r="D40" s="166"/>
      <c r="E40" s="167"/>
      <c r="F40" s="38"/>
      <c r="G40" s="188"/>
      <c r="H40" s="189"/>
      <c r="I40" s="38"/>
      <c r="J40" s="188"/>
      <c r="K40" s="189"/>
      <c r="L40" s="38"/>
      <c r="M40" s="188"/>
      <c r="N40" s="189"/>
      <c r="O40" s="38"/>
      <c r="P40" s="188"/>
      <c r="Q40" s="189"/>
      <c r="R40" s="51"/>
      <c r="S40" s="188"/>
      <c r="T40" s="189"/>
      <c r="U40" s="38"/>
      <c r="V40" s="188"/>
      <c r="W40" s="189"/>
      <c r="X40" s="38"/>
      <c r="Y40" s="188"/>
      <c r="Z40" s="189"/>
      <c r="AA40" s="38"/>
      <c r="AB40" s="188"/>
      <c r="AC40" s="189"/>
      <c r="AD40" s="38"/>
      <c r="AE40" s="188"/>
      <c r="AF40" s="189"/>
      <c r="AG40" s="38"/>
      <c r="AH40" s="188"/>
      <c r="AI40" s="189"/>
      <c r="AJ40" s="38"/>
      <c r="AK40" s="188"/>
      <c r="AL40" s="189"/>
      <c r="AM40" s="26"/>
      <c r="AN40" s="211"/>
      <c r="AO40" s="212"/>
      <c r="AP40" s="38"/>
      <c r="AQ40" s="188"/>
      <c r="AR40" s="189"/>
      <c r="AS40" s="38"/>
      <c r="AT40" s="188"/>
      <c r="AU40" s="189"/>
      <c r="AV40" s="201">
        <f>COUNTIF(F41:AU41,"в")</f>
        <v>0</v>
      </c>
      <c r="AW40" s="179">
        <f>F41+I41+L41+O41+R41+U41+X41+AA41+AD41+AG41+AJ41+AM41+AP41+AS41</f>
        <v>0</v>
      </c>
      <c r="AX40" s="184" t="s">
        <v>2</v>
      </c>
      <c r="AY40" s="183">
        <f>AU41+AR41+AO41+AL41+AI41+AF41+AC41+Z41+W41+T41+Q41+N41+K41+H41</f>
        <v>0</v>
      </c>
      <c r="AZ40" s="175">
        <f>IF(BL40=0,0,RANK(BL40,$BL$7:$BL$48,0))</f>
        <v>0</v>
      </c>
      <c r="BA40" s="174">
        <f>IF(BL40=0,0,VLOOKUP(AZ40,$BG$7:$BH$48,2,FALSE))</f>
        <v>0</v>
      </c>
      <c r="BB40" s="180">
        <f>A40+BA40</f>
        <v>19</v>
      </c>
      <c r="BC40" s="39" t="e">
        <f>AVERAGE(G40,J40,M40,P40,S40,V40,Y40,AB40,AE40,AH40,AK40,AN40,AQ40,AT40)</f>
        <v>#DIV/0!</v>
      </c>
      <c r="BD40" s="172">
        <f>F40+AS40+AP40+AM40+AJ40+AG40+AD40+AA40+X40+U40+R40+O40+L40+I40</f>
        <v>0</v>
      </c>
      <c r="BE40" s="259"/>
      <c r="BF40" s="22"/>
      <c r="BG40" s="236">
        <v>12</v>
      </c>
      <c r="BH40" s="236">
        <v>6</v>
      </c>
      <c r="BI40" s="88"/>
      <c r="BJ40" s="88"/>
      <c r="BK40" s="164">
        <f>IF((AV40+AW42*0.001)=0,0,AV40+AW42*0.001+1)</f>
        <v>0</v>
      </c>
      <c r="BL40" s="165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65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56"/>
      <c r="B41" s="85">
        <v>12</v>
      </c>
      <c r="C41" s="168"/>
      <c r="D41" s="168"/>
      <c r="E41" s="169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202"/>
      <c r="AW41" s="179"/>
      <c r="AX41" s="184"/>
      <c r="AY41" s="183"/>
      <c r="AZ41" s="176"/>
      <c r="BA41" s="174"/>
      <c r="BB41" s="180"/>
      <c r="BC41" s="44" t="e">
        <f>BC40*3</f>
        <v>#DIV/0!</v>
      </c>
      <c r="BD41" s="173"/>
      <c r="BE41" s="260"/>
      <c r="BF41" s="22"/>
      <c r="BG41" s="236"/>
      <c r="BH41" s="236"/>
      <c r="BI41" s="88"/>
      <c r="BJ41" s="88"/>
      <c r="BK41" s="164"/>
      <c r="BL41" s="165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65"/>
    </row>
    <row r="42" spans="1:80" ht="18" customHeight="1" thickBot="1" thickTop="1">
      <c r="A42" s="257"/>
      <c r="B42" s="86"/>
      <c r="C42" s="170"/>
      <c r="D42" s="170"/>
      <c r="E42" s="171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203"/>
      <c r="AW42" s="178">
        <f>AW40-AY40</f>
        <v>0</v>
      </c>
      <c r="AX42" s="178"/>
      <c r="AY42" s="178"/>
      <c r="AZ42" s="177"/>
      <c r="BA42" s="174"/>
      <c r="BB42" s="180"/>
      <c r="BC42" s="50" t="e">
        <f>AVERAGE(F42:AU42)</f>
        <v>#DIV/0!</v>
      </c>
      <c r="BD42" s="173"/>
      <c r="BE42" s="261"/>
      <c r="BF42" s="22"/>
      <c r="BG42" s="236"/>
      <c r="BH42" s="236"/>
      <c r="BI42" s="88"/>
      <c r="BJ42" s="88"/>
      <c r="BK42" s="164"/>
      <c r="BL42" s="165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65"/>
    </row>
    <row r="43" spans="1:80" ht="18" customHeight="1" thickBot="1" thickTop="1">
      <c r="A43" s="255">
        <f>VLOOKUP(C43,Исходник!$A$3:$R$44,18,FALSE)</f>
        <v>19</v>
      </c>
      <c r="B43" s="84"/>
      <c r="C43" s="166" t="str">
        <f>VLOOKUP(B44,Исходник!$X$3:$AY$44,28,FALSE)</f>
        <v>Сердюк Владимир
СФДМ, Москва</v>
      </c>
      <c r="D43" s="166"/>
      <c r="E43" s="167"/>
      <c r="F43" s="38"/>
      <c r="G43" s="188"/>
      <c r="H43" s="189"/>
      <c r="I43" s="38"/>
      <c r="J43" s="188"/>
      <c r="K43" s="189"/>
      <c r="L43" s="51"/>
      <c r="M43" s="188"/>
      <c r="N43" s="189"/>
      <c r="O43" s="38"/>
      <c r="P43" s="188"/>
      <c r="Q43" s="189"/>
      <c r="R43" s="38"/>
      <c r="S43" s="188"/>
      <c r="T43" s="189"/>
      <c r="U43" s="38"/>
      <c r="V43" s="188"/>
      <c r="W43" s="189"/>
      <c r="X43" s="38"/>
      <c r="Y43" s="188"/>
      <c r="Z43" s="189"/>
      <c r="AA43" s="38"/>
      <c r="AB43" s="188"/>
      <c r="AC43" s="189"/>
      <c r="AD43" s="38"/>
      <c r="AE43" s="188"/>
      <c r="AF43" s="189"/>
      <c r="AG43" s="38"/>
      <c r="AH43" s="188"/>
      <c r="AI43" s="189"/>
      <c r="AJ43" s="38"/>
      <c r="AK43" s="188"/>
      <c r="AL43" s="189"/>
      <c r="AM43" s="38"/>
      <c r="AN43" s="188"/>
      <c r="AO43" s="189"/>
      <c r="AP43" s="26"/>
      <c r="AQ43" s="211"/>
      <c r="AR43" s="212"/>
      <c r="AS43" s="38"/>
      <c r="AT43" s="188"/>
      <c r="AU43" s="189"/>
      <c r="AV43" s="201">
        <f>COUNTIF(F44:AU44,"в")</f>
        <v>0</v>
      </c>
      <c r="AW43" s="179">
        <f>F44+I44+L44+O44+R44+U44+X44+AA44+AD44+AG44+AJ44+AM44+AP44+AS44</f>
        <v>0</v>
      </c>
      <c r="AX43" s="184" t="s">
        <v>2</v>
      </c>
      <c r="AY43" s="183">
        <f>AU44+AR44+AO44+AL44+AI44+AF44+AC44+Z44+W44+T44+Q44+N44+K44+H44</f>
        <v>0</v>
      </c>
      <c r="AZ43" s="175">
        <f>IF(BL43=0,0,RANK(BL43,$BL$7:$BL$48,0))</f>
        <v>0</v>
      </c>
      <c r="BA43" s="174">
        <f>IF(BL43=0,0,VLOOKUP(AZ43,$BG$7:$BH$48,2,FALSE))</f>
        <v>0</v>
      </c>
      <c r="BB43" s="180">
        <f>A43+BA43</f>
        <v>19</v>
      </c>
      <c r="BC43" s="39" t="e">
        <f>AVERAGE(G43,J43,M43,P43,S43,V43,Y43,AB43,AE43,AH43,AK43,AN43,AQ43,AT43)</f>
        <v>#DIV/0!</v>
      </c>
      <c r="BD43" s="172">
        <f>F43+AS43+AP43+AM43+AJ43+AG43+AD43+AA43+X43+U43+R43+O43+L43+I43</f>
        <v>0</v>
      </c>
      <c r="BE43" s="259"/>
      <c r="BF43" s="22"/>
      <c r="BG43" s="236">
        <v>13</v>
      </c>
      <c r="BH43" s="236">
        <v>5</v>
      </c>
      <c r="BI43" s="88"/>
      <c r="BJ43" s="88"/>
      <c r="BK43" s="164">
        <f>IF((AV43+AW45*0.001)=0,0,AV43+AW45*0.001+1)</f>
        <v>0</v>
      </c>
      <c r="BL43" s="165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65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56"/>
      <c r="B44" s="85">
        <v>13</v>
      </c>
      <c r="C44" s="168"/>
      <c r="D44" s="168"/>
      <c r="E44" s="169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202"/>
      <c r="AW44" s="179"/>
      <c r="AX44" s="184"/>
      <c r="AY44" s="183"/>
      <c r="AZ44" s="176"/>
      <c r="BA44" s="174"/>
      <c r="BB44" s="180"/>
      <c r="BC44" s="44" t="e">
        <f>BC43*3</f>
        <v>#DIV/0!</v>
      </c>
      <c r="BD44" s="173"/>
      <c r="BE44" s="260"/>
      <c r="BF44" s="22"/>
      <c r="BG44" s="236"/>
      <c r="BH44" s="236"/>
      <c r="BI44" s="88"/>
      <c r="BJ44" s="88"/>
      <c r="BK44" s="164"/>
      <c r="BL44" s="165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65"/>
    </row>
    <row r="45" spans="1:80" ht="18" customHeight="1" thickBot="1" thickTop="1">
      <c r="A45" s="257"/>
      <c r="B45" s="86"/>
      <c r="C45" s="170"/>
      <c r="D45" s="170"/>
      <c r="E45" s="171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203"/>
      <c r="AW45" s="178">
        <f>AW43-AY43</f>
        <v>0</v>
      </c>
      <c r="AX45" s="178"/>
      <c r="AY45" s="178"/>
      <c r="AZ45" s="177"/>
      <c r="BA45" s="174"/>
      <c r="BB45" s="180"/>
      <c r="BC45" s="50" t="e">
        <f>AVERAGE(F45:AU45)</f>
        <v>#DIV/0!</v>
      </c>
      <c r="BD45" s="173"/>
      <c r="BE45" s="261"/>
      <c r="BF45" s="22"/>
      <c r="BG45" s="236"/>
      <c r="BH45" s="236"/>
      <c r="BI45" s="88"/>
      <c r="BJ45" s="88"/>
      <c r="BK45" s="164"/>
      <c r="BL45" s="165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65"/>
    </row>
    <row r="46" spans="1:80" ht="18" customHeight="1" thickBot="1" thickTop="1">
      <c r="A46" s="255">
        <f>VLOOKUP(C46,Исходник!$A$3:$R$44,18,FALSE)</f>
        <v>8</v>
      </c>
      <c r="B46" s="84"/>
      <c r="C46" s="166" t="str">
        <f>VLOOKUP(B47,Исходник!$X$3:$AY$44,28,FALSE)</f>
        <v>Акутов Александр
СФДМ, Москва</v>
      </c>
      <c r="D46" s="166"/>
      <c r="E46" s="167"/>
      <c r="F46" s="38"/>
      <c r="G46" s="188"/>
      <c r="H46" s="189"/>
      <c r="I46" s="38"/>
      <c r="J46" s="188"/>
      <c r="K46" s="189"/>
      <c r="L46" s="38"/>
      <c r="M46" s="188"/>
      <c r="N46" s="189"/>
      <c r="O46" s="38"/>
      <c r="P46" s="188"/>
      <c r="Q46" s="189"/>
      <c r="R46" s="38"/>
      <c r="S46" s="188"/>
      <c r="T46" s="189"/>
      <c r="U46" s="38"/>
      <c r="V46" s="188"/>
      <c r="W46" s="189"/>
      <c r="X46" s="38"/>
      <c r="Y46" s="188"/>
      <c r="Z46" s="189"/>
      <c r="AA46" s="38"/>
      <c r="AB46" s="188"/>
      <c r="AC46" s="189"/>
      <c r="AD46" s="38"/>
      <c r="AE46" s="188"/>
      <c r="AF46" s="189"/>
      <c r="AG46" s="38"/>
      <c r="AH46" s="188"/>
      <c r="AI46" s="189"/>
      <c r="AJ46" s="38"/>
      <c r="AK46" s="188"/>
      <c r="AL46" s="189"/>
      <c r="AM46" s="38"/>
      <c r="AN46" s="188"/>
      <c r="AO46" s="189"/>
      <c r="AP46" s="38"/>
      <c r="AQ46" s="188"/>
      <c r="AR46" s="189"/>
      <c r="AS46" s="26"/>
      <c r="AT46" s="211"/>
      <c r="AU46" s="212"/>
      <c r="AV46" s="201">
        <f>COUNTIF(F47:AU47,"в")</f>
        <v>0</v>
      </c>
      <c r="AW46" s="179">
        <f>F47+I47+L47+O47+R47+U47+X47+AA47+AD47+AG47+AJ47+AM47+AP47+AS47</f>
        <v>0</v>
      </c>
      <c r="AX46" s="184" t="s">
        <v>2</v>
      </c>
      <c r="AY46" s="183">
        <f>AU47+AR47+AO47+AL47+AI47+AF47+AC47+Z47+W47+T47+Q47+N47+K47+H47</f>
        <v>0</v>
      </c>
      <c r="AZ46" s="175">
        <f>IF(BL46=0,0,RANK(BL46,$BL$7:$BL$48,0))</f>
        <v>0</v>
      </c>
      <c r="BA46" s="174">
        <f>IF(BL46=0,0,VLOOKUP(AZ46,$BG$7:$BH$48,2,FALSE))</f>
        <v>0</v>
      </c>
      <c r="BB46" s="180">
        <f>A46+BA46</f>
        <v>8</v>
      </c>
      <c r="BC46" s="39" t="e">
        <f>AVERAGE(G46,J46,M46,P46,S46,V46,Y46,AB46,AE46,AH46,AK46,AN46,AQ46,AT46)</f>
        <v>#DIV/0!</v>
      </c>
      <c r="BD46" s="172">
        <f>F46+AS46+AP46+AM46+AJ46+AG46+AD46+AA46+X46+U46+R46+O46+L46+I46</f>
        <v>0</v>
      </c>
      <c r="BE46" s="259"/>
      <c r="BF46" s="22"/>
      <c r="BG46" s="236">
        <v>14</v>
      </c>
      <c r="BH46" s="236">
        <v>4</v>
      </c>
      <c r="BI46" s="88"/>
      <c r="BJ46" s="88"/>
      <c r="BK46" s="164">
        <f>IF((AV46+AW48*0.001)=0,0,AV46+AW48*0.001+1)</f>
        <v>0</v>
      </c>
      <c r="BL46" s="165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65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56"/>
      <c r="B47" s="85">
        <v>14</v>
      </c>
      <c r="C47" s="168"/>
      <c r="D47" s="168"/>
      <c r="E47" s="169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202"/>
      <c r="AW47" s="179"/>
      <c r="AX47" s="184"/>
      <c r="AY47" s="183"/>
      <c r="AZ47" s="176"/>
      <c r="BA47" s="174"/>
      <c r="BB47" s="180"/>
      <c r="BC47" s="44" t="e">
        <f>BC46*3</f>
        <v>#DIV/0!</v>
      </c>
      <c r="BD47" s="173"/>
      <c r="BE47" s="260"/>
      <c r="BF47" s="22"/>
      <c r="BG47" s="236"/>
      <c r="BH47" s="236"/>
      <c r="BI47" s="88"/>
      <c r="BJ47" s="88"/>
      <c r="BK47" s="164"/>
      <c r="BL47" s="165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65"/>
    </row>
    <row r="48" spans="1:80" ht="18" customHeight="1" thickBot="1" thickTop="1">
      <c r="A48" s="257"/>
      <c r="B48" s="87"/>
      <c r="C48" s="292"/>
      <c r="D48" s="292"/>
      <c r="E48" s="293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203"/>
      <c r="AW48" s="178">
        <f>AW46-AY46</f>
        <v>0</v>
      </c>
      <c r="AX48" s="178"/>
      <c r="AY48" s="178"/>
      <c r="AZ48" s="177"/>
      <c r="BA48" s="174"/>
      <c r="BB48" s="180"/>
      <c r="BC48" s="67" t="e">
        <f>AVERAGE(F48:AU48)</f>
        <v>#DIV/0!</v>
      </c>
      <c r="BD48" s="173"/>
      <c r="BE48" s="172"/>
      <c r="BF48" s="22"/>
      <c r="BG48" s="236"/>
      <c r="BH48" s="236"/>
      <c r="BI48" s="88"/>
      <c r="BJ48" s="88"/>
      <c r="BK48" s="164"/>
      <c r="BL48" s="165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65"/>
    </row>
    <row r="49" spans="59:80" ht="13.5" thickTop="1">
      <c r="BG49" s="88"/>
      <c r="BH49" s="88"/>
      <c r="BI49" s="88"/>
      <c r="BJ49" s="88"/>
      <c r="BK49" s="164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64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64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64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64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64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64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64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64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64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64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64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64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64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64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64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64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64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64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64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64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64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64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64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64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64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64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64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64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64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64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64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64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64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64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64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64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64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64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64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64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64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59:80" ht="12.75"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59:80" ht="12.75"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59:80" ht="12.75"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59:80" ht="12.75"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59:80" ht="12.75"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59:80" ht="12.75"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59:80" ht="12.75"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59:80" ht="12.75"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" operator="greaterThanOrEqual" stopIfTrue="1">
      <formula>1</formula>
    </cfRule>
  </conditionalFormatting>
  <conditionalFormatting sqref="BC7">
    <cfRule type="cellIs" priority="768" dxfId="3" operator="between" stopIfTrue="1">
      <formula>21</formula>
      <formula>22.99999999</formula>
    </cfRule>
    <cfRule type="cellIs" priority="769" dxfId="2" operator="between" stopIfTrue="1">
      <formula>23</formula>
      <formula>26.999</formula>
    </cfRule>
    <cfRule type="cellIs" priority="770" dxfId="1" operator="greaterThanOrEqual" stopIfTrue="1">
      <formula>27</formula>
    </cfRule>
  </conditionalFormatting>
  <conditionalFormatting sqref="BC10 BC13 BC16 BC19 BC22 BC25 BC28 BC31 BC34 BC37 BC40 BC43 BC46">
    <cfRule type="cellIs" priority="762" dxfId="3" operator="between" stopIfTrue="1">
      <formula>21</formula>
      <formula>22.99999999</formula>
    </cfRule>
    <cfRule type="cellIs" priority="763" dxfId="2" operator="between" stopIfTrue="1">
      <formula>23</formula>
      <formula>26.999</formula>
    </cfRule>
    <cfRule type="cellIs" priority="764" dxfId="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" operator="greaterThanOrEqual" stopIfTrue="1">
      <formula>1</formula>
    </cfRule>
  </conditionalFormatting>
  <conditionalFormatting sqref="BC28 BC31 BC34 BC37 BC40 BC43 BC46 BC7 BC10 BC13 BC16 BC19 BC22 BC25">
    <cfRule type="cellIs" priority="728" dxfId="3" operator="between" stopIfTrue="1">
      <formula>21</formula>
      <formula>22.99999999</formula>
    </cfRule>
    <cfRule type="cellIs" priority="729" dxfId="2" operator="between" stopIfTrue="1">
      <formula>23</formula>
      <formula>26.999</formula>
    </cfRule>
    <cfRule type="cellIs" priority="730" dxfId="1" operator="greaterThanOrEqual" stopIfTrue="1">
      <formula>27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3" operator="between" stopIfTrue="1">
      <formula>21</formula>
      <formula>22.99999999</formula>
    </cfRule>
    <cfRule type="cellIs" priority="22" dxfId="2" operator="between" stopIfTrue="1">
      <formula>23</formula>
      <formula>26.999</formula>
    </cfRule>
    <cfRule type="cellIs" priority="23" dxfId="1" operator="greaterThanOrEqual" stopIfTrue="1">
      <formula>27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50" zoomScaleNormal="50" zoomScalePageLayoutView="0" workbookViewId="0" topLeftCell="A1">
      <selection activeCell="L11" sqref="L11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37" t="s">
        <v>52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  <c r="L1" s="243" t="s">
        <v>54</v>
      </c>
      <c r="M1" s="244"/>
      <c r="N1" s="244"/>
      <c r="O1" s="244"/>
      <c r="P1" s="244"/>
      <c r="Q1" s="244"/>
      <c r="R1" s="244"/>
      <c r="S1" s="244"/>
      <c r="T1" s="245"/>
      <c r="U1" s="283"/>
      <c r="V1" s="284"/>
      <c r="W1" s="284"/>
      <c r="X1" s="284"/>
      <c r="Y1" s="284"/>
      <c r="Z1" s="285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2"/>
      <c r="L2" s="246"/>
      <c r="M2" s="247"/>
      <c r="N2" s="247"/>
      <c r="O2" s="247"/>
      <c r="P2" s="247"/>
      <c r="Q2" s="247"/>
      <c r="R2" s="247"/>
      <c r="S2" s="247"/>
      <c r="T2" s="248"/>
      <c r="U2" s="286"/>
      <c r="V2" s="287"/>
      <c r="W2" s="287"/>
      <c r="X2" s="287"/>
      <c r="Y2" s="287"/>
      <c r="Z2" s="288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246"/>
      <c r="M3" s="247"/>
      <c r="N3" s="247"/>
      <c r="O3" s="247"/>
      <c r="P3" s="247"/>
      <c r="Q3" s="247"/>
      <c r="R3" s="247"/>
      <c r="S3" s="247"/>
      <c r="T3" s="248"/>
      <c r="U3" s="286"/>
      <c r="V3" s="287"/>
      <c r="W3" s="287"/>
      <c r="X3" s="287"/>
      <c r="Y3" s="287"/>
      <c r="Z3" s="288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89" t="s">
        <v>16</v>
      </c>
      <c r="B4" s="219" t="s">
        <v>19</v>
      </c>
      <c r="C4" s="220"/>
      <c r="D4" s="220"/>
      <c r="E4" s="221"/>
      <c r="F4" s="57"/>
      <c r="G4" s="204"/>
      <c r="H4" s="205"/>
      <c r="I4" s="57"/>
      <c r="J4" s="204"/>
      <c r="K4" s="205"/>
      <c r="L4" s="57"/>
      <c r="M4" s="204"/>
      <c r="N4" s="205"/>
      <c r="O4" s="57"/>
      <c r="P4" s="204"/>
      <c r="Q4" s="205"/>
      <c r="R4" s="57"/>
      <c r="S4" s="204"/>
      <c r="T4" s="205"/>
      <c r="U4" s="57"/>
      <c r="V4" s="204"/>
      <c r="W4" s="205"/>
      <c r="X4" s="57"/>
      <c r="Y4" s="204"/>
      <c r="Z4" s="205"/>
      <c r="AA4" s="57"/>
      <c r="AB4" s="58"/>
      <c r="AC4" s="59"/>
      <c r="AD4" s="57"/>
      <c r="AE4" s="204"/>
      <c r="AF4" s="205"/>
      <c r="AG4" s="57"/>
      <c r="AH4" s="204"/>
      <c r="AI4" s="205"/>
      <c r="AJ4" s="57"/>
      <c r="AK4" s="204"/>
      <c r="AL4" s="205"/>
      <c r="AM4" s="57"/>
      <c r="AN4" s="204"/>
      <c r="AO4" s="205"/>
      <c r="AP4" s="57"/>
      <c r="AQ4" s="204"/>
      <c r="AR4" s="205"/>
      <c r="AS4" s="57"/>
      <c r="AT4" s="204"/>
      <c r="AU4" s="205"/>
      <c r="AV4" s="208" t="s">
        <v>0</v>
      </c>
      <c r="AW4" s="192" t="s">
        <v>9</v>
      </c>
      <c r="AX4" s="193"/>
      <c r="AY4" s="194"/>
      <c r="AZ4" s="192" t="s">
        <v>1</v>
      </c>
      <c r="BA4" s="185" t="s">
        <v>14</v>
      </c>
      <c r="BB4" s="185" t="s">
        <v>15</v>
      </c>
      <c r="BC4" s="60" t="s">
        <v>10</v>
      </c>
      <c r="BD4" s="181">
        <v>180</v>
      </c>
      <c r="BE4" s="263" t="s">
        <v>21</v>
      </c>
      <c r="BF4" s="22"/>
      <c r="BG4" s="258" t="s">
        <v>18</v>
      </c>
      <c r="BH4" s="258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90"/>
      <c r="B5" s="222"/>
      <c r="C5" s="223"/>
      <c r="D5" s="223"/>
      <c r="E5" s="224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209"/>
      <c r="AW5" s="195"/>
      <c r="AX5" s="196"/>
      <c r="AY5" s="197"/>
      <c r="AZ5" s="195"/>
      <c r="BA5" s="186"/>
      <c r="BB5" s="186"/>
      <c r="BC5" s="30" t="s">
        <v>11</v>
      </c>
      <c r="BD5" s="182"/>
      <c r="BE5" s="264"/>
      <c r="BF5" s="22"/>
      <c r="BG5" s="258"/>
      <c r="BH5" s="258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91"/>
      <c r="B6" s="225"/>
      <c r="C6" s="226"/>
      <c r="D6" s="226"/>
      <c r="E6" s="227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210"/>
      <c r="AW6" s="198"/>
      <c r="AX6" s="199"/>
      <c r="AY6" s="200"/>
      <c r="AZ6" s="198"/>
      <c r="BA6" s="187"/>
      <c r="BB6" s="187"/>
      <c r="BC6" s="37" t="s">
        <v>12</v>
      </c>
      <c r="BD6" s="182"/>
      <c r="BE6" s="264"/>
      <c r="BF6" s="22"/>
      <c r="BG6" s="258"/>
      <c r="BH6" s="258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255">
        <f>VLOOKUP(C7,Исходник!$A$3:$Y$44,25,FALSE)</f>
        <v>79</v>
      </c>
      <c r="B7" s="84"/>
      <c r="C7" s="166" t="str">
        <f>VLOOKUP(B8,Исходник!$AF$3:$AY$44,20,FALSE)</f>
        <v>Шашеро Антон
СФДМ, Москва</v>
      </c>
      <c r="D7" s="166"/>
      <c r="E7" s="167"/>
      <c r="F7" s="26"/>
      <c r="G7" s="211"/>
      <c r="H7" s="211"/>
      <c r="I7" s="38"/>
      <c r="J7" s="188"/>
      <c r="K7" s="189"/>
      <c r="L7" s="38"/>
      <c r="M7" s="188"/>
      <c r="N7" s="189"/>
      <c r="O7" s="38"/>
      <c r="P7" s="188"/>
      <c r="Q7" s="189"/>
      <c r="R7" s="38"/>
      <c r="S7" s="188"/>
      <c r="T7" s="189"/>
      <c r="U7" s="38"/>
      <c r="V7" s="188"/>
      <c r="W7" s="189"/>
      <c r="X7" s="38"/>
      <c r="Y7" s="188"/>
      <c r="Z7" s="189"/>
      <c r="AA7" s="38"/>
      <c r="AB7" s="188"/>
      <c r="AC7" s="189"/>
      <c r="AD7" s="38"/>
      <c r="AE7" s="188"/>
      <c r="AF7" s="189"/>
      <c r="AG7" s="38"/>
      <c r="AH7" s="188"/>
      <c r="AI7" s="189"/>
      <c r="AJ7" s="38"/>
      <c r="AK7" s="188"/>
      <c r="AL7" s="189"/>
      <c r="AM7" s="38"/>
      <c r="AN7" s="188"/>
      <c r="AO7" s="189"/>
      <c r="AP7" s="38"/>
      <c r="AQ7" s="188"/>
      <c r="AR7" s="189"/>
      <c r="AS7" s="38"/>
      <c r="AT7" s="188"/>
      <c r="AU7" s="189"/>
      <c r="AV7" s="201">
        <f>COUNTIF(F8:AU8,"в")</f>
        <v>0</v>
      </c>
      <c r="AW7" s="179">
        <f>F8+I8+L8+O8+R8+U8+X8+AA8+AD8+AG8+AJ8+AM8+AP8+AS8</f>
        <v>0</v>
      </c>
      <c r="AX7" s="184" t="s">
        <v>2</v>
      </c>
      <c r="AY7" s="183">
        <f>AU8+AR8+AO8+AL8+AI8+AF8+AC8+Z8+W8+T8+Q8+N8+K8+H8</f>
        <v>0</v>
      </c>
      <c r="AZ7" s="175">
        <f>IF(BL7=0,0,RANK(BL7,$BL$7:$BL$48,0))</f>
        <v>0</v>
      </c>
      <c r="BA7" s="174">
        <f>IF(BL7=0,0,VLOOKUP(AZ7,$BG$7:$BH$48,2,FALSE))</f>
        <v>0</v>
      </c>
      <c r="BB7" s="180">
        <f>A7+BA7</f>
        <v>79</v>
      </c>
      <c r="BC7" s="39" t="e">
        <f>AVERAGE(G7,J7,M7,P7,S7,V7,Y7,AB7,AE7,AH7,AK7,AN7,AQ7,AT7)</f>
        <v>#DIV/0!</v>
      </c>
      <c r="BD7" s="173">
        <f>F7+AS7+AP7+AM7+AJ7+AG7+AD7+AA7+X7+U7+R7+O7+L7+I7</f>
        <v>0</v>
      </c>
      <c r="BE7" s="265"/>
      <c r="BF7" s="22"/>
      <c r="BG7" s="236">
        <v>1</v>
      </c>
      <c r="BH7" s="236">
        <v>30</v>
      </c>
      <c r="BI7" s="88"/>
      <c r="BJ7" s="88"/>
      <c r="BK7" s="164">
        <f>IF((AV7+AW9*0.001)=0,0,AV7+AW9*0.001+1)</f>
        <v>0</v>
      </c>
      <c r="BL7" s="165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65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56"/>
      <c r="B8" s="85">
        <v>1</v>
      </c>
      <c r="C8" s="168"/>
      <c r="D8" s="168"/>
      <c r="E8" s="169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202"/>
      <c r="AW8" s="179"/>
      <c r="AX8" s="184"/>
      <c r="AY8" s="183"/>
      <c r="AZ8" s="176"/>
      <c r="BA8" s="174"/>
      <c r="BB8" s="180"/>
      <c r="BC8" s="44" t="e">
        <f>BC7*3</f>
        <v>#DIV/0!</v>
      </c>
      <c r="BD8" s="173"/>
      <c r="BE8" s="266"/>
      <c r="BF8" s="22"/>
      <c r="BG8" s="236"/>
      <c r="BH8" s="236"/>
      <c r="BI8" s="88"/>
      <c r="BJ8" s="88"/>
      <c r="BK8" s="164"/>
      <c r="BL8" s="165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65"/>
    </row>
    <row r="9" spans="1:80" ht="18" customHeight="1" thickBot="1" thickTop="1">
      <c r="A9" s="257"/>
      <c r="B9" s="86"/>
      <c r="C9" s="170"/>
      <c r="D9" s="170"/>
      <c r="E9" s="171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203"/>
      <c r="AW9" s="178">
        <f>AW7-AY7</f>
        <v>0</v>
      </c>
      <c r="AX9" s="178"/>
      <c r="AY9" s="178"/>
      <c r="AZ9" s="177"/>
      <c r="BA9" s="174"/>
      <c r="BB9" s="180"/>
      <c r="BC9" s="50" t="e">
        <f>AVERAGE(F9:AU9)</f>
        <v>#DIV/0!</v>
      </c>
      <c r="BD9" s="173"/>
      <c r="BE9" s="267"/>
      <c r="BF9" s="22"/>
      <c r="BG9" s="236"/>
      <c r="BH9" s="236"/>
      <c r="BI9" s="88"/>
      <c r="BJ9" s="88"/>
      <c r="BK9" s="164"/>
      <c r="BL9" s="165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65"/>
    </row>
    <row r="10" spans="1:80" ht="18" customHeight="1" thickBot="1" thickTop="1">
      <c r="A10" s="255">
        <f>VLOOKUP(C10,Исходник!$A$3:$Y$44,25,FALSE)</f>
        <v>76</v>
      </c>
      <c r="B10" s="84"/>
      <c r="C10" s="166" t="str">
        <f>VLOOKUP(B11,Исходник!$AF$3:$AY$44,20,FALSE)</f>
        <v>Сущенко Сергей
СФДМ, Москва</v>
      </c>
      <c r="D10" s="166"/>
      <c r="E10" s="167"/>
      <c r="F10" s="51"/>
      <c r="G10" s="188"/>
      <c r="H10" s="189"/>
      <c r="I10" s="25"/>
      <c r="J10" s="211"/>
      <c r="K10" s="212"/>
      <c r="L10" s="38"/>
      <c r="M10" s="188"/>
      <c r="N10" s="189"/>
      <c r="O10" s="38"/>
      <c r="P10" s="188"/>
      <c r="Q10" s="189"/>
      <c r="R10" s="38"/>
      <c r="S10" s="188"/>
      <c r="T10" s="189"/>
      <c r="U10" s="38"/>
      <c r="V10" s="188"/>
      <c r="W10" s="189"/>
      <c r="X10" s="38"/>
      <c r="Y10" s="188"/>
      <c r="Z10" s="189"/>
      <c r="AA10" s="38"/>
      <c r="AB10" s="188"/>
      <c r="AC10" s="189"/>
      <c r="AD10" s="38"/>
      <c r="AE10" s="188"/>
      <c r="AF10" s="189"/>
      <c r="AG10" s="38"/>
      <c r="AH10" s="188"/>
      <c r="AI10" s="189"/>
      <c r="AJ10" s="38"/>
      <c r="AK10" s="188"/>
      <c r="AL10" s="189"/>
      <c r="AM10" s="38"/>
      <c r="AN10" s="188"/>
      <c r="AO10" s="189"/>
      <c r="AP10" s="38"/>
      <c r="AQ10" s="188"/>
      <c r="AR10" s="189"/>
      <c r="AS10" s="38"/>
      <c r="AT10" s="188"/>
      <c r="AU10" s="189"/>
      <c r="AV10" s="201">
        <f>COUNTIF(F11:AU11,"в")</f>
        <v>0</v>
      </c>
      <c r="AW10" s="179">
        <f>F11+I11+L11+O11+R11+U11+X11+AA11+AD11+AG11+AJ11+AM11+AP11+AS11</f>
        <v>0</v>
      </c>
      <c r="AX10" s="184" t="s">
        <v>2</v>
      </c>
      <c r="AY10" s="183">
        <f>AU11+AR11+AO11+AL11+AI11+AF11+AC11+Z11+W11+T11+Q11+N11+K11+H11</f>
        <v>0</v>
      </c>
      <c r="AZ10" s="175">
        <f>IF(BL10=0,0,RANK(BL10,$BL$7:$BL$48,0))</f>
        <v>0</v>
      </c>
      <c r="BA10" s="174">
        <f>IF(BL10=0,0,VLOOKUP(AZ10,$BG$7:$BH$48,2,FALSE))</f>
        <v>0</v>
      </c>
      <c r="BB10" s="180">
        <f>A10+BA10</f>
        <v>76</v>
      </c>
      <c r="BC10" s="39" t="e">
        <f>AVERAGE(G10,J10,M10,P10,S10,V10,Y10,AB10,AE10,AH10,AK10,AN10,AQ10,AT10)</f>
        <v>#DIV/0!</v>
      </c>
      <c r="BD10" s="172">
        <f>F10+AS10+AP10+AM10+AJ10+AG10+AD10+AA10+X10+U10+R10+O10+L10+I10</f>
        <v>0</v>
      </c>
      <c r="BE10" s="259"/>
      <c r="BF10" s="22"/>
      <c r="BG10" s="236">
        <v>2</v>
      </c>
      <c r="BH10" s="236">
        <v>26</v>
      </c>
      <c r="BI10" s="88"/>
      <c r="BJ10" s="88"/>
      <c r="BK10" s="164">
        <f>IF((AV10+AW12*0.001)=0,0,AV10+AW12*0.001+1)</f>
        <v>0</v>
      </c>
      <c r="BL10" s="165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165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56"/>
      <c r="B11" s="85">
        <v>2</v>
      </c>
      <c r="C11" s="168"/>
      <c r="D11" s="168"/>
      <c r="E11" s="169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202"/>
      <c r="AW11" s="179"/>
      <c r="AX11" s="184"/>
      <c r="AY11" s="183"/>
      <c r="AZ11" s="176"/>
      <c r="BA11" s="174"/>
      <c r="BB11" s="180"/>
      <c r="BC11" s="44" t="e">
        <f>BC10*3</f>
        <v>#DIV/0!</v>
      </c>
      <c r="BD11" s="173"/>
      <c r="BE11" s="260"/>
      <c r="BF11" s="22"/>
      <c r="BG11" s="236"/>
      <c r="BH11" s="236"/>
      <c r="BI11" s="88"/>
      <c r="BJ11" s="88"/>
      <c r="BK11" s="164"/>
      <c r="BL11" s="165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65"/>
    </row>
    <row r="12" spans="1:80" ht="18" customHeight="1" thickBot="1" thickTop="1">
      <c r="A12" s="257"/>
      <c r="B12" s="86"/>
      <c r="C12" s="170"/>
      <c r="D12" s="170"/>
      <c r="E12" s="171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203"/>
      <c r="AW12" s="178">
        <f>AW10-AY10</f>
        <v>0</v>
      </c>
      <c r="AX12" s="178"/>
      <c r="AY12" s="178"/>
      <c r="AZ12" s="177"/>
      <c r="BA12" s="174"/>
      <c r="BB12" s="180"/>
      <c r="BC12" s="50" t="e">
        <f>AVERAGE(F12:AU12)</f>
        <v>#DIV/0!</v>
      </c>
      <c r="BD12" s="173"/>
      <c r="BE12" s="261"/>
      <c r="BF12" s="22"/>
      <c r="BG12" s="236"/>
      <c r="BH12" s="236"/>
      <c r="BI12" s="88"/>
      <c r="BJ12" s="88"/>
      <c r="BK12" s="164"/>
      <c r="BL12" s="165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65"/>
    </row>
    <row r="13" spans="1:80" ht="18" customHeight="1" thickBot="1" thickTop="1">
      <c r="A13" s="255">
        <f>VLOOKUP(C13,Исходник!$A$3:$Y$44,25,FALSE)</f>
        <v>60</v>
      </c>
      <c r="B13" s="84"/>
      <c r="C13" s="166" t="str">
        <f>VLOOKUP(B14,Исходник!$AF$3:$AY$44,20,FALSE)</f>
        <v>Новоселов Павел
СФДМ, Москва</v>
      </c>
      <c r="D13" s="166"/>
      <c r="E13" s="167"/>
      <c r="F13" s="38"/>
      <c r="G13" s="188"/>
      <c r="H13" s="189"/>
      <c r="I13" s="38"/>
      <c r="J13" s="188"/>
      <c r="K13" s="189"/>
      <c r="L13" s="26"/>
      <c r="M13" s="211"/>
      <c r="N13" s="212"/>
      <c r="O13" s="38"/>
      <c r="P13" s="188"/>
      <c r="Q13" s="189"/>
      <c r="R13" s="38"/>
      <c r="S13" s="188"/>
      <c r="T13" s="189"/>
      <c r="U13" s="38"/>
      <c r="V13" s="188"/>
      <c r="W13" s="189"/>
      <c r="X13" s="38"/>
      <c r="Y13" s="188"/>
      <c r="Z13" s="189"/>
      <c r="AA13" s="38"/>
      <c r="AB13" s="188"/>
      <c r="AC13" s="189"/>
      <c r="AD13" s="38"/>
      <c r="AE13" s="188"/>
      <c r="AF13" s="189"/>
      <c r="AG13" s="38"/>
      <c r="AH13" s="188"/>
      <c r="AI13" s="189"/>
      <c r="AJ13" s="38"/>
      <c r="AK13" s="188"/>
      <c r="AL13" s="189"/>
      <c r="AM13" s="38"/>
      <c r="AN13" s="188"/>
      <c r="AO13" s="189"/>
      <c r="AP13" s="38"/>
      <c r="AQ13" s="188"/>
      <c r="AR13" s="189"/>
      <c r="AS13" s="38"/>
      <c r="AT13" s="188"/>
      <c r="AU13" s="189"/>
      <c r="AV13" s="201">
        <f>COUNTIF(F14:AU14,"в")</f>
        <v>0</v>
      </c>
      <c r="AW13" s="179">
        <f>F14+I14+L14+O14+R14+U14+X14+AA14+AD14+AG14+AJ14+AM14+AP14+AS14</f>
        <v>0</v>
      </c>
      <c r="AX13" s="184" t="s">
        <v>2</v>
      </c>
      <c r="AY13" s="183">
        <f>AU14+AR14+AO14+AL14+AI14+AF14+AC14+Z14+W14+T14+Q14+N14+K14+H14</f>
        <v>0</v>
      </c>
      <c r="AZ13" s="175">
        <f>IF(BL13=0,0,RANK(BL13,$BL$7:$BL$48,0))</f>
        <v>0</v>
      </c>
      <c r="BA13" s="174">
        <f>IF(BL13=0,0,VLOOKUP(AZ13,$BG$7:$BH$48,2,FALSE))</f>
        <v>0</v>
      </c>
      <c r="BB13" s="180">
        <f>A13+BA13</f>
        <v>60</v>
      </c>
      <c r="BC13" s="39" t="e">
        <f>AVERAGE(G13,J13,M13,P13,S13,V13,Y13,AB13,AE13,AH13,AK13,AN13,AQ13,AT13)</f>
        <v>#DIV/0!</v>
      </c>
      <c r="BD13" s="172">
        <f>F13+AS13+AP13+AM13+AJ13+AG13+AD13+AA13+X13+U13+R13+O13+L13+I13</f>
        <v>0</v>
      </c>
      <c r="BE13" s="259"/>
      <c r="BF13" s="22"/>
      <c r="BG13" s="236">
        <v>3</v>
      </c>
      <c r="BH13" s="236">
        <v>23</v>
      </c>
      <c r="BI13" s="88"/>
      <c r="BJ13" s="88"/>
      <c r="BK13" s="164">
        <f>IF((AV13+AW15*0.001)=0,0,AV13+AW15*0.001+1)</f>
        <v>0</v>
      </c>
      <c r="BL13" s="165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165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56"/>
      <c r="B14" s="85">
        <v>3</v>
      </c>
      <c r="C14" s="168"/>
      <c r="D14" s="168"/>
      <c r="E14" s="169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202"/>
      <c r="AW14" s="179"/>
      <c r="AX14" s="184"/>
      <c r="AY14" s="183"/>
      <c r="AZ14" s="176"/>
      <c r="BA14" s="174"/>
      <c r="BB14" s="180"/>
      <c r="BC14" s="44" t="e">
        <f>BC13*3</f>
        <v>#DIV/0!</v>
      </c>
      <c r="BD14" s="173"/>
      <c r="BE14" s="260"/>
      <c r="BF14" s="22"/>
      <c r="BG14" s="236"/>
      <c r="BH14" s="236"/>
      <c r="BI14" s="88"/>
      <c r="BJ14" s="88"/>
      <c r="BK14" s="164"/>
      <c r="BL14" s="165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65"/>
    </row>
    <row r="15" spans="1:80" ht="18" customHeight="1" thickBot="1" thickTop="1">
      <c r="A15" s="257"/>
      <c r="B15" s="86"/>
      <c r="C15" s="170"/>
      <c r="D15" s="170"/>
      <c r="E15" s="171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203"/>
      <c r="AW15" s="178">
        <f>AW13-AY13</f>
        <v>0</v>
      </c>
      <c r="AX15" s="178"/>
      <c r="AY15" s="178"/>
      <c r="AZ15" s="177"/>
      <c r="BA15" s="174"/>
      <c r="BB15" s="180"/>
      <c r="BC15" s="50" t="e">
        <f>AVERAGE(F15:AU15)</f>
        <v>#DIV/0!</v>
      </c>
      <c r="BD15" s="173"/>
      <c r="BE15" s="261"/>
      <c r="BF15" s="22"/>
      <c r="BG15" s="236"/>
      <c r="BH15" s="236"/>
      <c r="BI15" s="88"/>
      <c r="BJ15" s="88"/>
      <c r="BK15" s="164"/>
      <c r="BL15" s="165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65"/>
    </row>
    <row r="16" spans="1:80" ht="18" customHeight="1" thickBot="1" thickTop="1">
      <c r="A16" s="255">
        <f>VLOOKUP(C16,Исходник!$A$3:$Y$44,25,FALSE)</f>
        <v>56</v>
      </c>
      <c r="B16" s="84"/>
      <c r="C16" s="166" t="str">
        <f>VLOOKUP(B17,Исходник!$AF$3:$AY$44,20,FALSE)</f>
        <v>Соболев Артем
СФДМ, Москва</v>
      </c>
      <c r="D16" s="166"/>
      <c r="E16" s="167"/>
      <c r="F16" s="38"/>
      <c r="G16" s="188"/>
      <c r="H16" s="189"/>
      <c r="I16" s="51"/>
      <c r="J16" s="188"/>
      <c r="K16" s="189"/>
      <c r="L16" s="51"/>
      <c r="M16" s="188"/>
      <c r="N16" s="189"/>
      <c r="O16" s="26"/>
      <c r="P16" s="211"/>
      <c r="Q16" s="212"/>
      <c r="R16" s="38"/>
      <c r="S16" s="188"/>
      <c r="T16" s="189"/>
      <c r="U16" s="38"/>
      <c r="V16" s="188"/>
      <c r="W16" s="189"/>
      <c r="X16" s="38"/>
      <c r="Y16" s="188"/>
      <c r="Z16" s="189"/>
      <c r="AA16" s="38"/>
      <c r="AB16" s="188"/>
      <c r="AC16" s="189"/>
      <c r="AD16" s="38"/>
      <c r="AE16" s="188"/>
      <c r="AF16" s="189"/>
      <c r="AG16" s="38"/>
      <c r="AH16" s="188"/>
      <c r="AI16" s="189"/>
      <c r="AJ16" s="38"/>
      <c r="AK16" s="188"/>
      <c r="AL16" s="189"/>
      <c r="AM16" s="38"/>
      <c r="AN16" s="188"/>
      <c r="AO16" s="189"/>
      <c r="AP16" s="38"/>
      <c r="AQ16" s="188"/>
      <c r="AR16" s="189"/>
      <c r="AS16" s="38"/>
      <c r="AT16" s="188"/>
      <c r="AU16" s="189"/>
      <c r="AV16" s="201">
        <f>COUNTIF(F17:AU17,"в")</f>
        <v>0</v>
      </c>
      <c r="AW16" s="179">
        <f>F17+I17+L17+O17+R17+U17+X17+AA17+AD17+AG17+AJ17+AM17+AP17+AS17</f>
        <v>0</v>
      </c>
      <c r="AX16" s="184" t="s">
        <v>2</v>
      </c>
      <c r="AY16" s="183">
        <f>AU17+AR17+AO17+AL17+AI17+AF17+AC17+Z17+W17+T17+Q17+N17+K17+H17</f>
        <v>0</v>
      </c>
      <c r="AZ16" s="175">
        <f>IF(BL16=0,0,RANK(BL16,$BL$7:$BL$48,0))</f>
        <v>0</v>
      </c>
      <c r="BA16" s="174">
        <f>IF(BL16=0,0,VLOOKUP(AZ16,$BG$7:$BH$48,2,FALSE))</f>
        <v>0</v>
      </c>
      <c r="BB16" s="180">
        <f>A16+BA16</f>
        <v>56</v>
      </c>
      <c r="BC16" s="39" t="e">
        <f>AVERAGE(G16,J16,M16,P16,S16,V16,Y16,AB16,AE16,AH16,AK16,AN16,AQ16,AT16)</f>
        <v>#DIV/0!</v>
      </c>
      <c r="BD16" s="172">
        <f>F16+AS16+AP16+AM16+AJ16+AG16+AD16+AA16+X16+U16+R16+O16+L16+I16</f>
        <v>0</v>
      </c>
      <c r="BE16" s="262"/>
      <c r="BF16" s="22"/>
      <c r="BG16" s="236">
        <v>4</v>
      </c>
      <c r="BH16" s="236">
        <v>20</v>
      </c>
      <c r="BI16" s="88"/>
      <c r="BJ16" s="88"/>
      <c r="BK16" s="164">
        <f>IF((AV16+AW18*0.001)=0,0,AV16+AW18*0.001+1)</f>
        <v>0</v>
      </c>
      <c r="BL16" s="165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165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56"/>
      <c r="B17" s="85">
        <v>4</v>
      </c>
      <c r="C17" s="168"/>
      <c r="D17" s="168"/>
      <c r="E17" s="169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202"/>
      <c r="AW17" s="179"/>
      <c r="AX17" s="184"/>
      <c r="AY17" s="183"/>
      <c r="AZ17" s="176"/>
      <c r="BA17" s="174"/>
      <c r="BB17" s="180"/>
      <c r="BC17" s="44" t="e">
        <f>BC16*3</f>
        <v>#DIV/0!</v>
      </c>
      <c r="BD17" s="173"/>
      <c r="BE17" s="260"/>
      <c r="BF17" s="22"/>
      <c r="BG17" s="236"/>
      <c r="BH17" s="236"/>
      <c r="BI17" s="88"/>
      <c r="BJ17" s="88"/>
      <c r="BK17" s="164"/>
      <c r="BL17" s="165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65"/>
    </row>
    <row r="18" spans="1:80" ht="18" customHeight="1" thickBot="1" thickTop="1">
      <c r="A18" s="257"/>
      <c r="B18" s="86"/>
      <c r="C18" s="170"/>
      <c r="D18" s="170"/>
      <c r="E18" s="171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203"/>
      <c r="AW18" s="178">
        <f>AW16-AY16</f>
        <v>0</v>
      </c>
      <c r="AX18" s="178"/>
      <c r="AY18" s="178"/>
      <c r="AZ18" s="177"/>
      <c r="BA18" s="174"/>
      <c r="BB18" s="180"/>
      <c r="BC18" s="50" t="e">
        <f>AVERAGE(F18:AU18)</f>
        <v>#DIV/0!</v>
      </c>
      <c r="BD18" s="173"/>
      <c r="BE18" s="261"/>
      <c r="BF18" s="22"/>
      <c r="BG18" s="236"/>
      <c r="BH18" s="236"/>
      <c r="BI18" s="88"/>
      <c r="BJ18" s="88"/>
      <c r="BK18" s="164"/>
      <c r="BL18" s="165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65"/>
    </row>
    <row r="19" spans="1:80" ht="18" customHeight="1" thickBot="1" thickTop="1">
      <c r="A19" s="255">
        <f>VLOOKUP(C19,Исходник!$A$3:$Y$44,25,FALSE)</f>
        <v>55</v>
      </c>
      <c r="B19" s="84"/>
      <c r="C19" s="166" t="str">
        <f>VLOOKUP(B20,Исходник!$AF$3:$AY$44,20,FALSE)</f>
        <v>Хроменко Олег
СФДМ, Москва</v>
      </c>
      <c r="D19" s="166"/>
      <c r="E19" s="167"/>
      <c r="F19" s="38"/>
      <c r="G19" s="228"/>
      <c r="H19" s="229"/>
      <c r="I19" s="38"/>
      <c r="J19" s="228"/>
      <c r="K19" s="229"/>
      <c r="L19" s="38"/>
      <c r="M19" s="228"/>
      <c r="N19" s="229"/>
      <c r="O19" s="38"/>
      <c r="P19" s="228"/>
      <c r="Q19" s="229"/>
      <c r="R19" s="26"/>
      <c r="S19" s="211"/>
      <c r="T19" s="212"/>
      <c r="U19" s="38"/>
      <c r="V19" s="188"/>
      <c r="W19" s="189"/>
      <c r="X19" s="38"/>
      <c r="Y19" s="188"/>
      <c r="Z19" s="189"/>
      <c r="AA19" s="38"/>
      <c r="AB19" s="188"/>
      <c r="AC19" s="189"/>
      <c r="AD19" s="38"/>
      <c r="AE19" s="188"/>
      <c r="AF19" s="189"/>
      <c r="AG19" s="38"/>
      <c r="AH19" s="188"/>
      <c r="AI19" s="189"/>
      <c r="AJ19" s="38"/>
      <c r="AK19" s="188"/>
      <c r="AL19" s="189"/>
      <c r="AM19" s="38"/>
      <c r="AN19" s="188"/>
      <c r="AO19" s="189"/>
      <c r="AP19" s="38"/>
      <c r="AQ19" s="188"/>
      <c r="AR19" s="189"/>
      <c r="AS19" s="38"/>
      <c r="AT19" s="188"/>
      <c r="AU19" s="189"/>
      <c r="AV19" s="201">
        <f>COUNTIF(F20:AU20,"в")</f>
        <v>0</v>
      </c>
      <c r="AW19" s="179">
        <f>F20+I20+L20+O20+R20+U20+X20+AA20+AD20+AG20+AJ20+AM20+AP20+AS20</f>
        <v>0</v>
      </c>
      <c r="AX19" s="184" t="s">
        <v>2</v>
      </c>
      <c r="AY19" s="183">
        <f>AU20+AR20+AO20+AL20+AI20+AF20+AC20+Z20+W20+T20+Q20+N20+K20+H20</f>
        <v>0</v>
      </c>
      <c r="AZ19" s="175">
        <f>IF(BL19=0,0,RANK(BL19,$BL$7:$BL$48,0))</f>
        <v>0</v>
      </c>
      <c r="BA19" s="174">
        <f>IF(BL19=0,0,VLOOKUP(AZ19,$BG$7:$BH$48,2,FALSE))</f>
        <v>0</v>
      </c>
      <c r="BB19" s="180">
        <f>A19+BA19</f>
        <v>55</v>
      </c>
      <c r="BC19" s="39" t="e">
        <f>AVERAGE(G19,J19,M19,P19,S19,V19,Y19,AB19,AE19,AH19,AK19,AN19,AQ19,AT19)</f>
        <v>#DIV/0!</v>
      </c>
      <c r="BD19" s="172">
        <f>F19+AS19+AP19+AM19+AJ19+AG19+AD19+AA19+X19+U19+R19+O19+L19+I19</f>
        <v>0</v>
      </c>
      <c r="BE19" s="262"/>
      <c r="BF19" s="22"/>
      <c r="BG19" s="236">
        <v>5</v>
      </c>
      <c r="BH19" s="236">
        <v>17</v>
      </c>
      <c r="BI19" s="88"/>
      <c r="BJ19" s="88"/>
      <c r="BK19" s="164">
        <f>IF((AV19+AW21*0.001)=0,0,AV19+AW21*0.001+1)</f>
        <v>0</v>
      </c>
      <c r="BL19" s="165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165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56"/>
      <c r="B20" s="85">
        <v>5</v>
      </c>
      <c r="C20" s="168"/>
      <c r="D20" s="168"/>
      <c r="E20" s="169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202"/>
      <c r="AW20" s="179"/>
      <c r="AX20" s="184"/>
      <c r="AY20" s="183"/>
      <c r="AZ20" s="176"/>
      <c r="BA20" s="174"/>
      <c r="BB20" s="180"/>
      <c r="BC20" s="44" t="e">
        <f>BC19*3</f>
        <v>#DIV/0!</v>
      </c>
      <c r="BD20" s="173"/>
      <c r="BE20" s="260"/>
      <c r="BF20" s="22"/>
      <c r="BG20" s="236"/>
      <c r="BH20" s="236"/>
      <c r="BI20" s="88"/>
      <c r="BJ20" s="88"/>
      <c r="BK20" s="164"/>
      <c r="BL20" s="165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65"/>
    </row>
    <row r="21" spans="1:80" ht="18" customHeight="1" thickBot="1" thickTop="1">
      <c r="A21" s="257"/>
      <c r="B21" s="86"/>
      <c r="C21" s="170"/>
      <c r="D21" s="170"/>
      <c r="E21" s="171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203"/>
      <c r="AW21" s="178">
        <f>AW19-AY19</f>
        <v>0</v>
      </c>
      <c r="AX21" s="178"/>
      <c r="AY21" s="178"/>
      <c r="AZ21" s="177"/>
      <c r="BA21" s="174"/>
      <c r="BB21" s="180"/>
      <c r="BC21" s="50" t="e">
        <f>AVERAGE(F21:AU21)</f>
        <v>#DIV/0!</v>
      </c>
      <c r="BD21" s="173"/>
      <c r="BE21" s="261"/>
      <c r="BF21" s="22"/>
      <c r="BG21" s="236"/>
      <c r="BH21" s="236"/>
      <c r="BI21" s="88"/>
      <c r="BJ21" s="88"/>
      <c r="BK21" s="164"/>
      <c r="BL21" s="165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65"/>
    </row>
    <row r="22" spans="1:80" ht="18" customHeight="1" thickBot="1" thickTop="1">
      <c r="A22" s="255">
        <f>VLOOKUP(C22,Исходник!$A$3:$Y$44,25,FALSE)</f>
        <v>42</v>
      </c>
      <c r="B22" s="84"/>
      <c r="C22" s="166" t="str">
        <f>VLOOKUP(B23,Исходник!$AF$3:$AY$44,20,FALSE)</f>
        <v>Дераков Евгений
СФДМ, Москва</v>
      </c>
      <c r="D22" s="166"/>
      <c r="E22" s="167"/>
      <c r="F22" s="38"/>
      <c r="G22" s="188"/>
      <c r="H22" s="189"/>
      <c r="I22" s="38"/>
      <c r="J22" s="188"/>
      <c r="K22" s="189"/>
      <c r="L22" s="38"/>
      <c r="M22" s="188"/>
      <c r="N22" s="189"/>
      <c r="O22" s="38"/>
      <c r="P22" s="188"/>
      <c r="Q22" s="189"/>
      <c r="R22" s="38"/>
      <c r="S22" s="188"/>
      <c r="T22" s="189"/>
      <c r="U22" s="26"/>
      <c r="V22" s="211"/>
      <c r="W22" s="212"/>
      <c r="X22" s="38"/>
      <c r="Y22" s="188"/>
      <c r="Z22" s="189"/>
      <c r="AA22" s="38"/>
      <c r="AB22" s="188"/>
      <c r="AC22" s="189"/>
      <c r="AD22" s="38"/>
      <c r="AE22" s="188"/>
      <c r="AF22" s="189"/>
      <c r="AG22" s="38"/>
      <c r="AH22" s="188"/>
      <c r="AI22" s="189"/>
      <c r="AJ22" s="38"/>
      <c r="AK22" s="188"/>
      <c r="AL22" s="189"/>
      <c r="AM22" s="38"/>
      <c r="AN22" s="188"/>
      <c r="AO22" s="189"/>
      <c r="AP22" s="38"/>
      <c r="AQ22" s="188"/>
      <c r="AR22" s="189"/>
      <c r="AS22" s="38"/>
      <c r="AT22" s="188"/>
      <c r="AU22" s="189"/>
      <c r="AV22" s="201">
        <f>COUNTIF(F23:AU23,"в")</f>
        <v>0</v>
      </c>
      <c r="AW22" s="179">
        <f>F23+I23+L23+O23+R23+U23+X23+AA23+AD23+AG23+AJ23+AM23+AP23+AS23</f>
        <v>0</v>
      </c>
      <c r="AX22" s="184" t="s">
        <v>2</v>
      </c>
      <c r="AY22" s="183">
        <f>AU23+AR23+AO23+AL23+AI23+AF23+AC23+Z23+W23+T23+Q23+N23+K23+H23</f>
        <v>0</v>
      </c>
      <c r="AZ22" s="175">
        <f>IF(BL22=0,0,RANK(BL22,$BL$7:$BL$48,0))</f>
        <v>0</v>
      </c>
      <c r="BA22" s="174">
        <f>IF(BL22=0,0,VLOOKUP(AZ22,$BG$7:$BH$48,2,FALSE))</f>
        <v>0</v>
      </c>
      <c r="BB22" s="180">
        <f>A22+BA22</f>
        <v>42</v>
      </c>
      <c r="BC22" s="39" t="e">
        <f>AVERAGE(G22,J22,M22,P22,S22,V22,Y22,AB22,AE22,AH22,AK22,AN22,AQ22,AT22)</f>
        <v>#DIV/0!</v>
      </c>
      <c r="BD22" s="172">
        <f>F22+AS22+AP22+AM22+AJ22+AG22+AD22+AA22+X22+U22+R22+O22+L22+I22</f>
        <v>0</v>
      </c>
      <c r="BE22" s="259"/>
      <c r="BF22" s="22"/>
      <c r="BG22" s="236">
        <v>6</v>
      </c>
      <c r="BH22" s="236">
        <v>15</v>
      </c>
      <c r="BI22" s="88"/>
      <c r="BJ22" s="88"/>
      <c r="BK22" s="164">
        <f>IF((AV22+AW24*0.001)=0,0,AV22+AW24*0.001+1)</f>
        <v>0</v>
      </c>
      <c r="BL22" s="165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165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56"/>
      <c r="B23" s="85">
        <v>6</v>
      </c>
      <c r="C23" s="168"/>
      <c r="D23" s="168"/>
      <c r="E23" s="169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202"/>
      <c r="AW23" s="179"/>
      <c r="AX23" s="184"/>
      <c r="AY23" s="183"/>
      <c r="AZ23" s="176"/>
      <c r="BA23" s="174"/>
      <c r="BB23" s="180"/>
      <c r="BC23" s="44" t="e">
        <f>BC22*3</f>
        <v>#DIV/0!</v>
      </c>
      <c r="BD23" s="173"/>
      <c r="BE23" s="260"/>
      <c r="BF23" s="22"/>
      <c r="BG23" s="236"/>
      <c r="BH23" s="236"/>
      <c r="BI23" s="88"/>
      <c r="BJ23" s="88"/>
      <c r="BK23" s="164"/>
      <c r="BL23" s="165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65"/>
    </row>
    <row r="24" spans="1:80" ht="18" customHeight="1" thickBot="1" thickTop="1">
      <c r="A24" s="257"/>
      <c r="B24" s="86"/>
      <c r="C24" s="170"/>
      <c r="D24" s="170"/>
      <c r="E24" s="171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203"/>
      <c r="AW24" s="178">
        <f>AW22-AY22</f>
        <v>0</v>
      </c>
      <c r="AX24" s="178"/>
      <c r="AY24" s="178"/>
      <c r="AZ24" s="177"/>
      <c r="BA24" s="174"/>
      <c r="BB24" s="180"/>
      <c r="BC24" s="50" t="e">
        <f>AVERAGE(F24:AU24)</f>
        <v>#DIV/0!</v>
      </c>
      <c r="BD24" s="173"/>
      <c r="BE24" s="261"/>
      <c r="BF24" s="22"/>
      <c r="BG24" s="236"/>
      <c r="BH24" s="236"/>
      <c r="BI24" s="88"/>
      <c r="BJ24" s="88"/>
      <c r="BK24" s="164"/>
      <c r="BL24" s="165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65"/>
    </row>
    <row r="25" spans="1:80" ht="18" customHeight="1" thickBot="1" thickTop="1">
      <c r="A25" s="255">
        <f>VLOOKUP(C25,Исходник!$A$3:$Y$44,25,FALSE)</f>
        <v>36</v>
      </c>
      <c r="B25" s="84"/>
      <c r="C25" s="166" t="str">
        <f>VLOOKUP(B26,Исходник!$AF$3:$AY$44,20,FALSE)</f>
        <v>Борисов Андрей
СФДМ, Москва</v>
      </c>
      <c r="D25" s="166"/>
      <c r="E25" s="167"/>
      <c r="F25" s="38"/>
      <c r="G25" s="188"/>
      <c r="H25" s="189"/>
      <c r="I25" s="38"/>
      <c r="J25" s="188"/>
      <c r="K25" s="189"/>
      <c r="L25" s="38"/>
      <c r="M25" s="188"/>
      <c r="N25" s="189"/>
      <c r="O25" s="38"/>
      <c r="P25" s="188"/>
      <c r="Q25" s="189"/>
      <c r="R25" s="38"/>
      <c r="S25" s="188"/>
      <c r="T25" s="189"/>
      <c r="U25" s="38"/>
      <c r="V25" s="188"/>
      <c r="W25" s="189"/>
      <c r="X25" s="26"/>
      <c r="Y25" s="211"/>
      <c r="Z25" s="212"/>
      <c r="AA25" s="38"/>
      <c r="AB25" s="188"/>
      <c r="AC25" s="189"/>
      <c r="AD25" s="38"/>
      <c r="AE25" s="188"/>
      <c r="AF25" s="189"/>
      <c r="AG25" s="38"/>
      <c r="AH25" s="188"/>
      <c r="AI25" s="189"/>
      <c r="AJ25" s="38"/>
      <c r="AK25" s="188"/>
      <c r="AL25" s="189"/>
      <c r="AM25" s="38"/>
      <c r="AN25" s="188"/>
      <c r="AO25" s="189"/>
      <c r="AP25" s="38"/>
      <c r="AQ25" s="188"/>
      <c r="AR25" s="189"/>
      <c r="AS25" s="38"/>
      <c r="AT25" s="188"/>
      <c r="AU25" s="189"/>
      <c r="AV25" s="201">
        <f>COUNTIF(F26:AU26,"в")</f>
        <v>0</v>
      </c>
      <c r="AW25" s="179">
        <f>F26+I26+L26+O26+R26+U26+X26+AA26+AD26+AG26+AJ26+AM26+AP26+AS26</f>
        <v>0</v>
      </c>
      <c r="AX25" s="184" t="s">
        <v>2</v>
      </c>
      <c r="AY25" s="183">
        <f>AU26+AR26+AO26+AL26+AI26+AF26+AC26+Z26+W26+T26+Q26+N26+K26+H26</f>
        <v>0</v>
      </c>
      <c r="AZ25" s="175">
        <f>IF(BL25=0,0,RANK(BL25,$BL$7:$BL$48,0))</f>
        <v>0</v>
      </c>
      <c r="BA25" s="174">
        <f>IF(BL25=0,0,VLOOKUP(AZ25,$BG$7:$BH$48,2,FALSE))</f>
        <v>0</v>
      </c>
      <c r="BB25" s="180">
        <f>A25+BA25</f>
        <v>36</v>
      </c>
      <c r="BC25" s="39" t="e">
        <f>AVERAGE(G25,J25,M25,P25,S25,V25,Y25,AB25,AE25,AH25,AK25,AN25,AQ25,AT25)</f>
        <v>#DIV/0!</v>
      </c>
      <c r="BD25" s="172">
        <f>F25+AS25+AP25+AM25+AJ25+AG25+AD25+AA25+X25+U25+R25+O25+L25+I25</f>
        <v>0</v>
      </c>
      <c r="BE25" s="262"/>
      <c r="BF25" s="22"/>
      <c r="BG25" s="236">
        <v>7</v>
      </c>
      <c r="BH25" s="236">
        <v>13</v>
      </c>
      <c r="BI25" s="88"/>
      <c r="BJ25" s="88"/>
      <c r="BK25" s="164">
        <f>IF((AV25+AW27*0.001)=0,0,AV25+AW27*0.001+1)</f>
        <v>0</v>
      </c>
      <c r="BL25" s="165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165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56"/>
      <c r="B26" s="85">
        <v>7</v>
      </c>
      <c r="C26" s="168"/>
      <c r="D26" s="168"/>
      <c r="E26" s="169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202"/>
      <c r="AW26" s="179"/>
      <c r="AX26" s="184"/>
      <c r="AY26" s="183"/>
      <c r="AZ26" s="176"/>
      <c r="BA26" s="174"/>
      <c r="BB26" s="180"/>
      <c r="BC26" s="44" t="e">
        <f>BC25*3</f>
        <v>#DIV/0!</v>
      </c>
      <c r="BD26" s="173"/>
      <c r="BE26" s="260"/>
      <c r="BF26" s="22"/>
      <c r="BG26" s="236"/>
      <c r="BH26" s="236"/>
      <c r="BI26" s="88"/>
      <c r="BJ26" s="88"/>
      <c r="BK26" s="164"/>
      <c r="BL26" s="165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65"/>
    </row>
    <row r="27" spans="1:80" ht="18" customHeight="1" thickBot="1" thickTop="1">
      <c r="A27" s="257"/>
      <c r="B27" s="86"/>
      <c r="C27" s="170"/>
      <c r="D27" s="170"/>
      <c r="E27" s="171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203"/>
      <c r="AW27" s="178">
        <f>AW25-AY25</f>
        <v>0</v>
      </c>
      <c r="AX27" s="178"/>
      <c r="AY27" s="178"/>
      <c r="AZ27" s="177"/>
      <c r="BA27" s="174"/>
      <c r="BB27" s="180"/>
      <c r="BC27" s="50" t="e">
        <f>AVERAGE(F27:AU27)</f>
        <v>#DIV/0!</v>
      </c>
      <c r="BD27" s="173"/>
      <c r="BE27" s="261"/>
      <c r="BF27" s="22"/>
      <c r="BG27" s="236"/>
      <c r="BH27" s="236"/>
      <c r="BI27" s="88"/>
      <c r="BJ27" s="88"/>
      <c r="BK27" s="164"/>
      <c r="BL27" s="165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65"/>
    </row>
    <row r="28" spans="1:80" ht="18" customHeight="1" thickBot="1" thickTop="1">
      <c r="A28" s="255">
        <f>VLOOKUP(C28,Исходник!$A$3:$Y$44,25,FALSE)</f>
        <v>29</v>
      </c>
      <c r="B28" s="84"/>
      <c r="C28" s="166" t="str">
        <f>VLOOKUP(B29,Исходник!$AF$3:$AY$44,20,FALSE)</f>
        <v>Колпаков Олег
СФДМ, Москва</v>
      </c>
      <c r="D28" s="166"/>
      <c r="E28" s="167"/>
      <c r="F28" s="51"/>
      <c r="G28" s="188"/>
      <c r="H28" s="189"/>
      <c r="I28" s="38"/>
      <c r="J28" s="188"/>
      <c r="K28" s="189"/>
      <c r="L28" s="38"/>
      <c r="M28" s="188"/>
      <c r="N28" s="189"/>
      <c r="O28" s="38"/>
      <c r="P28" s="188"/>
      <c r="Q28" s="189"/>
      <c r="R28" s="51"/>
      <c r="S28" s="188"/>
      <c r="T28" s="189"/>
      <c r="U28" s="38"/>
      <c r="V28" s="188"/>
      <c r="W28" s="189"/>
      <c r="X28" s="38"/>
      <c r="Y28" s="188"/>
      <c r="Z28" s="189"/>
      <c r="AA28" s="26"/>
      <c r="AB28" s="211"/>
      <c r="AC28" s="212"/>
      <c r="AD28" s="38"/>
      <c r="AE28" s="188"/>
      <c r="AF28" s="189"/>
      <c r="AG28" s="38"/>
      <c r="AH28" s="188"/>
      <c r="AI28" s="189"/>
      <c r="AJ28" s="38"/>
      <c r="AK28" s="188"/>
      <c r="AL28" s="189"/>
      <c r="AM28" s="38"/>
      <c r="AN28" s="188"/>
      <c r="AO28" s="189"/>
      <c r="AP28" s="38"/>
      <c r="AQ28" s="188"/>
      <c r="AR28" s="189"/>
      <c r="AS28" s="38"/>
      <c r="AT28" s="188"/>
      <c r="AU28" s="189"/>
      <c r="AV28" s="201">
        <f>COUNTIF(F29:AU29,"в")</f>
        <v>0</v>
      </c>
      <c r="AW28" s="179">
        <f>F29+I29+L29+O29+R29+U29+X29+AA29+AD29+AG29+AJ29+AM29+AP29+AS29</f>
        <v>0</v>
      </c>
      <c r="AX28" s="184" t="s">
        <v>2</v>
      </c>
      <c r="AY28" s="183">
        <f>AU29+AR29+AO29+AL29+AI29+AF29+AC29+Z29+W29+T29+Q29+N29+K29+H29</f>
        <v>0</v>
      </c>
      <c r="AZ28" s="175">
        <f>IF(BL28=0,0,RANK(BL28,$BL$7:$BL$48,0))</f>
        <v>0</v>
      </c>
      <c r="BA28" s="174">
        <f>IF(BL28=0,0,VLOOKUP(AZ28,$BG$7:$BH$48,2,FALSE))</f>
        <v>0</v>
      </c>
      <c r="BB28" s="180">
        <f>A28+BA28</f>
        <v>29</v>
      </c>
      <c r="BC28" s="39" t="e">
        <f>AVERAGE(G28,J28,M28,P28,S28,V28,Y28,AB28,AE28,AH28,AK28,AN28,AQ28,AT28)</f>
        <v>#DIV/0!</v>
      </c>
      <c r="BD28" s="172">
        <f>F28+AS28+AP28+AM28+AJ28+AG28+AD28+AA28+X28+U28+R28+O28+L28+I28</f>
        <v>0</v>
      </c>
      <c r="BE28" s="262"/>
      <c r="BF28" s="22"/>
      <c r="BG28" s="236">
        <v>8</v>
      </c>
      <c r="BH28" s="236">
        <v>12</v>
      </c>
      <c r="BI28" s="88"/>
      <c r="BJ28" s="88"/>
      <c r="BK28" s="164">
        <f>IF((AV28+AW30*0.001)=0,0,AV28+AW30*0.001+1)</f>
        <v>0</v>
      </c>
      <c r="BL28" s="165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165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56"/>
      <c r="B29" s="85">
        <v>8</v>
      </c>
      <c r="C29" s="168"/>
      <c r="D29" s="168"/>
      <c r="E29" s="169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202"/>
      <c r="AW29" s="179"/>
      <c r="AX29" s="184"/>
      <c r="AY29" s="183"/>
      <c r="AZ29" s="176"/>
      <c r="BA29" s="174"/>
      <c r="BB29" s="180"/>
      <c r="BC29" s="44" t="e">
        <f>BC28*3</f>
        <v>#DIV/0!</v>
      </c>
      <c r="BD29" s="173"/>
      <c r="BE29" s="260"/>
      <c r="BF29" s="22"/>
      <c r="BG29" s="236"/>
      <c r="BH29" s="236"/>
      <c r="BI29" s="88"/>
      <c r="BJ29" s="88"/>
      <c r="BK29" s="164"/>
      <c r="BL29" s="165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65"/>
    </row>
    <row r="30" spans="1:80" ht="18" customHeight="1" thickBot="1" thickTop="1">
      <c r="A30" s="257"/>
      <c r="B30" s="86"/>
      <c r="C30" s="170"/>
      <c r="D30" s="170"/>
      <c r="E30" s="171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203"/>
      <c r="AW30" s="178">
        <f>AW28-AY28</f>
        <v>0</v>
      </c>
      <c r="AX30" s="178"/>
      <c r="AY30" s="178"/>
      <c r="AZ30" s="177"/>
      <c r="BA30" s="174"/>
      <c r="BB30" s="180"/>
      <c r="BC30" s="50" t="e">
        <f>AVERAGE(F30:AU30)</f>
        <v>#DIV/0!</v>
      </c>
      <c r="BD30" s="173"/>
      <c r="BE30" s="261"/>
      <c r="BF30" s="22"/>
      <c r="BG30" s="236"/>
      <c r="BH30" s="236"/>
      <c r="BI30" s="88"/>
      <c r="BJ30" s="88"/>
      <c r="BK30" s="164"/>
      <c r="BL30" s="165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65"/>
    </row>
    <row r="31" spans="1:80" ht="18" customHeight="1" thickBot="1" thickTop="1">
      <c r="A31" s="255">
        <f>VLOOKUP(C31,Исходник!$A$3:$Y$44,25,FALSE)</f>
        <v>28</v>
      </c>
      <c r="B31" s="84"/>
      <c r="C31" s="166" t="str">
        <f>VLOOKUP(B32,Исходник!$AF$3:$AY$44,20,FALSE)</f>
        <v>Иванов Евгений
СФДМ, Красногорск</v>
      </c>
      <c r="D31" s="166"/>
      <c r="E31" s="167"/>
      <c r="F31" s="38"/>
      <c r="G31" s="188"/>
      <c r="H31" s="189"/>
      <c r="I31" s="38"/>
      <c r="J31" s="188"/>
      <c r="K31" s="189"/>
      <c r="L31" s="38"/>
      <c r="M31" s="188"/>
      <c r="N31" s="189"/>
      <c r="O31" s="38"/>
      <c r="P31" s="188"/>
      <c r="Q31" s="189"/>
      <c r="R31" s="38"/>
      <c r="S31" s="188"/>
      <c r="T31" s="189"/>
      <c r="U31" s="38"/>
      <c r="V31" s="188"/>
      <c r="W31" s="189"/>
      <c r="X31" s="38"/>
      <c r="Y31" s="188"/>
      <c r="Z31" s="189"/>
      <c r="AA31" s="38"/>
      <c r="AB31" s="188"/>
      <c r="AC31" s="189"/>
      <c r="AD31" s="26"/>
      <c r="AE31" s="211"/>
      <c r="AF31" s="212"/>
      <c r="AG31" s="38"/>
      <c r="AH31" s="188"/>
      <c r="AI31" s="189"/>
      <c r="AJ31" s="38"/>
      <c r="AK31" s="188"/>
      <c r="AL31" s="189"/>
      <c r="AM31" s="38"/>
      <c r="AN31" s="188"/>
      <c r="AO31" s="189"/>
      <c r="AP31" s="38"/>
      <c r="AQ31" s="188"/>
      <c r="AR31" s="189"/>
      <c r="AS31" s="38"/>
      <c r="AT31" s="188"/>
      <c r="AU31" s="189"/>
      <c r="AV31" s="201">
        <f>COUNTIF(F32:AU32,"в")</f>
        <v>0</v>
      </c>
      <c r="AW31" s="179">
        <f>F32+I32+L32+O32+R32+U32+X32+AA32+AD32+AG32+AJ32+AM32+AP32+AS32</f>
        <v>0</v>
      </c>
      <c r="AX31" s="184" t="s">
        <v>2</v>
      </c>
      <c r="AY31" s="183">
        <f>AU32+AR32+AO32+AL32+AI32+AF32+AC32+Z32+W32+T32+Q32+N32+K32+H32</f>
        <v>0</v>
      </c>
      <c r="AZ31" s="175">
        <f>IF(BL31=0,0,RANK(BL31,$BL$7:$BL$48,0))</f>
        <v>0</v>
      </c>
      <c r="BA31" s="174">
        <f>IF(BL31=0,0,VLOOKUP(AZ31,$BG$7:$BH$48,2,FALSE))</f>
        <v>0</v>
      </c>
      <c r="BB31" s="180">
        <f>A31+BA31</f>
        <v>28</v>
      </c>
      <c r="BC31" s="39" t="e">
        <f>AVERAGE(G31,J31,M31,P31,S31,V31,Y31,AB31,AE31,AH31,AK31,AN31,AQ31,AT31)</f>
        <v>#DIV/0!</v>
      </c>
      <c r="BD31" s="172">
        <f>F31+AS31+AP31+AM31+AJ31+AG31+AD31+AA31+X31+U31+R31+O31+L31+I31</f>
        <v>0</v>
      </c>
      <c r="BE31" s="262"/>
      <c r="BF31" s="22"/>
      <c r="BG31" s="236">
        <v>9</v>
      </c>
      <c r="BH31" s="236">
        <v>9</v>
      </c>
      <c r="BI31" s="88"/>
      <c r="BJ31" s="88"/>
      <c r="BK31" s="164">
        <f>IF((AV31+AW33*0.001)=0,0,AV31+AW33*0.001+1)</f>
        <v>0</v>
      </c>
      <c r="BL31" s="165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165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56"/>
      <c r="B32" s="85">
        <v>9</v>
      </c>
      <c r="C32" s="168"/>
      <c r="D32" s="168"/>
      <c r="E32" s="169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202"/>
      <c r="AW32" s="179"/>
      <c r="AX32" s="184"/>
      <c r="AY32" s="183"/>
      <c r="AZ32" s="176"/>
      <c r="BA32" s="174"/>
      <c r="BB32" s="180"/>
      <c r="BC32" s="44" t="e">
        <f>BC31*3</f>
        <v>#DIV/0!</v>
      </c>
      <c r="BD32" s="173"/>
      <c r="BE32" s="260"/>
      <c r="BF32" s="22"/>
      <c r="BG32" s="236"/>
      <c r="BH32" s="236"/>
      <c r="BI32" s="88"/>
      <c r="BJ32" s="88"/>
      <c r="BK32" s="164"/>
      <c r="BL32" s="165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65"/>
    </row>
    <row r="33" spans="1:80" ht="18" customHeight="1" thickBot="1" thickTop="1">
      <c r="A33" s="257"/>
      <c r="B33" s="86"/>
      <c r="C33" s="170"/>
      <c r="D33" s="170"/>
      <c r="E33" s="171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203"/>
      <c r="AW33" s="178">
        <f>AW31-AY31</f>
        <v>0</v>
      </c>
      <c r="AX33" s="178"/>
      <c r="AY33" s="178"/>
      <c r="AZ33" s="177"/>
      <c r="BA33" s="174"/>
      <c r="BB33" s="180"/>
      <c r="BC33" s="50" t="e">
        <f>AVERAGE(F33:AU33)</f>
        <v>#DIV/0!</v>
      </c>
      <c r="BD33" s="173"/>
      <c r="BE33" s="261"/>
      <c r="BF33" s="22"/>
      <c r="BG33" s="236"/>
      <c r="BH33" s="236"/>
      <c r="BI33" s="88"/>
      <c r="BJ33" s="88"/>
      <c r="BK33" s="164"/>
      <c r="BL33" s="165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65"/>
    </row>
    <row r="34" spans="1:80" ht="18" customHeight="1" thickBot="1" thickTop="1">
      <c r="A34" s="255">
        <f>VLOOKUP(C34,Исходник!$A$3:$Y$44,25,FALSE)</f>
        <v>23</v>
      </c>
      <c r="B34" s="84"/>
      <c r="C34" s="166" t="str">
        <f>VLOOKUP(B35,Исходник!$AF$3:$AY$44,20,FALSE)</f>
        <v>Конюхов Александр
СФДМ, Москва</v>
      </c>
      <c r="D34" s="166"/>
      <c r="E34" s="167"/>
      <c r="F34" s="51"/>
      <c r="G34" s="188"/>
      <c r="H34" s="189"/>
      <c r="I34" s="51"/>
      <c r="J34" s="188"/>
      <c r="K34" s="189"/>
      <c r="L34" s="51"/>
      <c r="M34" s="188"/>
      <c r="N34" s="189"/>
      <c r="O34" s="38"/>
      <c r="P34" s="188"/>
      <c r="Q34" s="189"/>
      <c r="R34" s="38"/>
      <c r="S34" s="188"/>
      <c r="T34" s="189"/>
      <c r="U34" s="51"/>
      <c r="V34" s="188"/>
      <c r="W34" s="189"/>
      <c r="X34" s="38"/>
      <c r="Y34" s="188"/>
      <c r="Z34" s="189"/>
      <c r="AA34" s="51"/>
      <c r="AB34" s="188"/>
      <c r="AC34" s="189"/>
      <c r="AD34" s="51"/>
      <c r="AE34" s="188"/>
      <c r="AF34" s="189"/>
      <c r="AG34" s="26"/>
      <c r="AH34" s="211"/>
      <c r="AI34" s="212"/>
      <c r="AJ34" s="38"/>
      <c r="AK34" s="188"/>
      <c r="AL34" s="189"/>
      <c r="AM34" s="38"/>
      <c r="AN34" s="188"/>
      <c r="AO34" s="189"/>
      <c r="AP34" s="38"/>
      <c r="AQ34" s="188"/>
      <c r="AR34" s="189"/>
      <c r="AS34" s="38"/>
      <c r="AT34" s="188"/>
      <c r="AU34" s="189"/>
      <c r="AV34" s="201">
        <f>COUNTIF(F35:AU35,"в")</f>
        <v>0</v>
      </c>
      <c r="AW34" s="179">
        <f>F35+I35+L35+O35+R35+U35+X35+AA35+AD35+AG35+AJ35+AM35+AP35+AS35</f>
        <v>0</v>
      </c>
      <c r="AX34" s="184" t="s">
        <v>2</v>
      </c>
      <c r="AY34" s="183">
        <f>AU35+AR35+AO35+AL35+AI35+AF35+AC35+Z35+W35+T35+Q35+N35+K35+H35</f>
        <v>0</v>
      </c>
      <c r="AZ34" s="175">
        <f>IF(BL34=0,0,RANK(BL34,$BL$7:$BL$48,0))</f>
        <v>0</v>
      </c>
      <c r="BA34" s="174">
        <f>IF(BL34=0,0,VLOOKUP(AZ34,$BG$7:$BH$48,2,FALSE))</f>
        <v>0</v>
      </c>
      <c r="BB34" s="180">
        <f>A34+BA34</f>
        <v>23</v>
      </c>
      <c r="BC34" s="39" t="e">
        <f>AVERAGE(G34,J34,M34,P34,S34,V34,Y34,AB34,AE34,AH34,AK34,AN34,AQ34,AT34)</f>
        <v>#DIV/0!</v>
      </c>
      <c r="BD34" s="172">
        <f>F34+AS34+AP34+AM34+AJ34+AG34+AD34+AA34+X34+U34+R34+O34+L34+I34</f>
        <v>0</v>
      </c>
      <c r="BE34" s="259"/>
      <c r="BF34" s="22"/>
      <c r="BG34" s="236">
        <v>10</v>
      </c>
      <c r="BH34" s="236">
        <v>8</v>
      </c>
      <c r="BI34" s="88"/>
      <c r="BJ34" s="88"/>
      <c r="BK34" s="164">
        <f>IF((AV34+AW36*0.001)=0,0,AV34+AW36*0.001+1)</f>
        <v>0</v>
      </c>
      <c r="BL34" s="165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165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56"/>
      <c r="B35" s="85">
        <v>10</v>
      </c>
      <c r="C35" s="168"/>
      <c r="D35" s="168"/>
      <c r="E35" s="169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202"/>
      <c r="AW35" s="179"/>
      <c r="AX35" s="184"/>
      <c r="AY35" s="183"/>
      <c r="AZ35" s="176"/>
      <c r="BA35" s="174"/>
      <c r="BB35" s="180"/>
      <c r="BC35" s="44" t="e">
        <f>BC34*3</f>
        <v>#DIV/0!</v>
      </c>
      <c r="BD35" s="173"/>
      <c r="BE35" s="260"/>
      <c r="BF35" s="22"/>
      <c r="BG35" s="236"/>
      <c r="BH35" s="236"/>
      <c r="BI35" s="88"/>
      <c r="BJ35" s="88"/>
      <c r="BK35" s="164"/>
      <c r="BL35" s="165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65"/>
    </row>
    <row r="36" spans="1:80" ht="18" customHeight="1" thickBot="1" thickTop="1">
      <c r="A36" s="257"/>
      <c r="B36" s="86"/>
      <c r="C36" s="170"/>
      <c r="D36" s="170"/>
      <c r="E36" s="171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203"/>
      <c r="AW36" s="178">
        <f>AW34-AY34</f>
        <v>0</v>
      </c>
      <c r="AX36" s="178"/>
      <c r="AY36" s="178"/>
      <c r="AZ36" s="177"/>
      <c r="BA36" s="174"/>
      <c r="BB36" s="180"/>
      <c r="BC36" s="50" t="e">
        <f>AVERAGE(F36:AU36)</f>
        <v>#DIV/0!</v>
      </c>
      <c r="BD36" s="173"/>
      <c r="BE36" s="261"/>
      <c r="BF36" s="22"/>
      <c r="BG36" s="236"/>
      <c r="BH36" s="236"/>
      <c r="BI36" s="88"/>
      <c r="BJ36" s="88"/>
      <c r="BK36" s="164"/>
      <c r="BL36" s="165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65"/>
    </row>
    <row r="37" spans="1:80" ht="18" customHeight="1" thickBot="1" thickTop="1">
      <c r="A37" s="255">
        <f>VLOOKUP(C37,Исходник!$A$3:$Y$44,25,FALSE)</f>
        <v>20</v>
      </c>
      <c r="B37" s="84"/>
      <c r="C37" s="166" t="str">
        <f>VLOOKUP(B38,Исходник!$AF$3:$AY$44,20,FALSE)</f>
        <v>Клочек Ксения
СФДМ, Москва</v>
      </c>
      <c r="D37" s="166"/>
      <c r="E37" s="167"/>
      <c r="F37" s="38"/>
      <c r="G37" s="188"/>
      <c r="H37" s="189"/>
      <c r="I37" s="38"/>
      <c r="J37" s="188"/>
      <c r="K37" s="189"/>
      <c r="L37" s="38"/>
      <c r="M37" s="188"/>
      <c r="N37" s="189"/>
      <c r="O37" s="38"/>
      <c r="P37" s="188"/>
      <c r="Q37" s="189"/>
      <c r="R37" s="38"/>
      <c r="S37" s="188"/>
      <c r="T37" s="189"/>
      <c r="U37" s="51"/>
      <c r="V37" s="188"/>
      <c r="W37" s="189"/>
      <c r="X37" s="51"/>
      <c r="Y37" s="188"/>
      <c r="Z37" s="189"/>
      <c r="AA37" s="38"/>
      <c r="AB37" s="188"/>
      <c r="AC37" s="189"/>
      <c r="AD37" s="51"/>
      <c r="AE37" s="188"/>
      <c r="AF37" s="189"/>
      <c r="AG37" s="38"/>
      <c r="AH37" s="188"/>
      <c r="AI37" s="189"/>
      <c r="AJ37" s="26"/>
      <c r="AK37" s="211"/>
      <c r="AL37" s="212"/>
      <c r="AM37" s="38"/>
      <c r="AN37" s="188"/>
      <c r="AO37" s="189"/>
      <c r="AP37" s="38"/>
      <c r="AQ37" s="188"/>
      <c r="AR37" s="189"/>
      <c r="AS37" s="38"/>
      <c r="AT37" s="188"/>
      <c r="AU37" s="189"/>
      <c r="AV37" s="201">
        <f>COUNTIF(F38:AU38,"в")</f>
        <v>0</v>
      </c>
      <c r="AW37" s="179">
        <f>F38+I38+L38+O38+R38+U38+X38+AA38+AD38+AG38+AJ38+AM38+AP38+AS38</f>
        <v>0</v>
      </c>
      <c r="AX37" s="184" t="s">
        <v>2</v>
      </c>
      <c r="AY37" s="183">
        <f>AU38+AR38+AO38+AL38+AI38+AF38+AC38+Z38+W38+T38+Q38+N38+K38+H38</f>
        <v>0</v>
      </c>
      <c r="AZ37" s="175">
        <f>IF(BL37=0,0,RANK(BL37,$BL$7:$BL$48,0))</f>
        <v>0</v>
      </c>
      <c r="BA37" s="174">
        <f>IF(BL37=0,0,VLOOKUP(AZ37,$BG$7:$BH$48,2,FALSE))</f>
        <v>0</v>
      </c>
      <c r="BB37" s="180">
        <f>A37+BA37</f>
        <v>20</v>
      </c>
      <c r="BC37" s="39" t="e">
        <f>AVERAGE(G37,J37,M37,P37,S37,V37,Y37,AB37,AE37,AH37,AK37,AN37,AQ37,AT37)</f>
        <v>#DIV/0!</v>
      </c>
      <c r="BD37" s="172">
        <f>F37+AS37+AP37+AM37+AJ37+AG37+AD37+AA37+X37+U37+R37+O37+L37+I37</f>
        <v>0</v>
      </c>
      <c r="BE37" s="262"/>
      <c r="BF37" s="22"/>
      <c r="BG37" s="236">
        <v>11</v>
      </c>
      <c r="BH37" s="236">
        <v>7</v>
      </c>
      <c r="BI37" s="88"/>
      <c r="BJ37" s="88"/>
      <c r="BK37" s="164">
        <f>IF((AV37+AW39*0.001)=0,0,AV37+AW39*0.001+1)</f>
        <v>0</v>
      </c>
      <c r="BL37" s="165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65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56"/>
      <c r="B38" s="85">
        <v>11</v>
      </c>
      <c r="C38" s="168"/>
      <c r="D38" s="168"/>
      <c r="E38" s="169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202"/>
      <c r="AW38" s="179"/>
      <c r="AX38" s="184"/>
      <c r="AY38" s="183"/>
      <c r="AZ38" s="176"/>
      <c r="BA38" s="174"/>
      <c r="BB38" s="180"/>
      <c r="BC38" s="44" t="e">
        <f>BC37*3</f>
        <v>#DIV/0!</v>
      </c>
      <c r="BD38" s="173"/>
      <c r="BE38" s="260"/>
      <c r="BF38" s="22"/>
      <c r="BG38" s="236"/>
      <c r="BH38" s="236"/>
      <c r="BI38" s="88"/>
      <c r="BJ38" s="88"/>
      <c r="BK38" s="164"/>
      <c r="BL38" s="165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65"/>
    </row>
    <row r="39" spans="1:80" ht="18" customHeight="1" thickBot="1" thickTop="1">
      <c r="A39" s="257"/>
      <c r="B39" s="86"/>
      <c r="C39" s="170"/>
      <c r="D39" s="170"/>
      <c r="E39" s="171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203"/>
      <c r="AW39" s="178">
        <f>AW37-AY37</f>
        <v>0</v>
      </c>
      <c r="AX39" s="178"/>
      <c r="AY39" s="178"/>
      <c r="AZ39" s="177"/>
      <c r="BA39" s="174"/>
      <c r="BB39" s="180"/>
      <c r="BC39" s="50" t="e">
        <f>AVERAGE(F39:AU39)</f>
        <v>#DIV/0!</v>
      </c>
      <c r="BD39" s="173"/>
      <c r="BE39" s="261"/>
      <c r="BF39" s="22"/>
      <c r="BG39" s="236"/>
      <c r="BH39" s="236"/>
      <c r="BI39" s="88"/>
      <c r="BJ39" s="88"/>
      <c r="BK39" s="164"/>
      <c r="BL39" s="165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65"/>
    </row>
    <row r="40" spans="1:80" ht="18" customHeight="1" thickBot="1" thickTop="1">
      <c r="A40" s="255">
        <f>VLOOKUP(C40,Исходник!$A$3:$Y$44,25,FALSE)</f>
        <v>19</v>
      </c>
      <c r="B40" s="84"/>
      <c r="C40" s="166" t="str">
        <f>VLOOKUP(B41,Исходник!$AF$3:$AY$44,20,FALSE)</f>
        <v>Ломов Аликус                      СФДМ, Москва</v>
      </c>
      <c r="D40" s="166"/>
      <c r="E40" s="167"/>
      <c r="F40" s="38"/>
      <c r="G40" s="188"/>
      <c r="H40" s="189"/>
      <c r="I40" s="38"/>
      <c r="J40" s="188"/>
      <c r="K40" s="189"/>
      <c r="L40" s="38"/>
      <c r="M40" s="188"/>
      <c r="N40" s="189"/>
      <c r="O40" s="38"/>
      <c r="P40" s="188"/>
      <c r="Q40" s="189"/>
      <c r="R40" s="51"/>
      <c r="S40" s="188"/>
      <c r="T40" s="189"/>
      <c r="U40" s="38"/>
      <c r="V40" s="188"/>
      <c r="W40" s="189"/>
      <c r="X40" s="38"/>
      <c r="Y40" s="188"/>
      <c r="Z40" s="189"/>
      <c r="AA40" s="38"/>
      <c r="AB40" s="188"/>
      <c r="AC40" s="189"/>
      <c r="AD40" s="38"/>
      <c r="AE40" s="188"/>
      <c r="AF40" s="189"/>
      <c r="AG40" s="38"/>
      <c r="AH40" s="188"/>
      <c r="AI40" s="189"/>
      <c r="AJ40" s="38"/>
      <c r="AK40" s="188"/>
      <c r="AL40" s="189"/>
      <c r="AM40" s="26"/>
      <c r="AN40" s="211"/>
      <c r="AO40" s="212"/>
      <c r="AP40" s="38"/>
      <c r="AQ40" s="188"/>
      <c r="AR40" s="189"/>
      <c r="AS40" s="38"/>
      <c r="AT40" s="188"/>
      <c r="AU40" s="189"/>
      <c r="AV40" s="201">
        <f>COUNTIF(F41:AU41,"в")</f>
        <v>0</v>
      </c>
      <c r="AW40" s="179">
        <f>F41+I41+L41+O41+R41+U41+X41+AA41+AD41+AG41+AJ41+AM41+AP41+AS41</f>
        <v>0</v>
      </c>
      <c r="AX40" s="184" t="s">
        <v>2</v>
      </c>
      <c r="AY40" s="183">
        <f>AU41+AR41+AO41+AL41+AI41+AF41+AC41+Z41+W41+T41+Q41+N41+K41+H41</f>
        <v>0</v>
      </c>
      <c r="AZ40" s="175">
        <f>IF(BL40=0,0,RANK(BL40,$BL$7:$BL$48,0))</f>
        <v>0</v>
      </c>
      <c r="BA40" s="174">
        <f>IF(BL40=0,0,VLOOKUP(AZ40,$BG$7:$BH$48,2,FALSE))</f>
        <v>0</v>
      </c>
      <c r="BB40" s="180">
        <f>A40+BA40</f>
        <v>19</v>
      </c>
      <c r="BC40" s="39" t="e">
        <f>AVERAGE(G40,J40,M40,P40,S40,V40,Y40,AB40,AE40,AH40,AK40,AN40,AQ40,AT40)</f>
        <v>#DIV/0!</v>
      </c>
      <c r="BD40" s="172">
        <f>F40+AS40+AP40+AM40+AJ40+AG40+AD40+AA40+X40+U40+R40+O40+L40+I40</f>
        <v>0</v>
      </c>
      <c r="BE40" s="259"/>
      <c r="BF40" s="22"/>
      <c r="BG40" s="236">
        <v>12</v>
      </c>
      <c r="BH40" s="236">
        <v>6</v>
      </c>
      <c r="BI40" s="88"/>
      <c r="BJ40" s="88"/>
      <c r="BK40" s="164">
        <f>IF((AV40+AW42*0.001)=0,0,AV40+AW42*0.001+1)</f>
        <v>0</v>
      </c>
      <c r="BL40" s="165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65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56"/>
      <c r="B41" s="85">
        <v>12</v>
      </c>
      <c r="C41" s="168"/>
      <c r="D41" s="168"/>
      <c r="E41" s="169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202"/>
      <c r="AW41" s="179"/>
      <c r="AX41" s="184"/>
      <c r="AY41" s="183"/>
      <c r="AZ41" s="176"/>
      <c r="BA41" s="174"/>
      <c r="BB41" s="180"/>
      <c r="BC41" s="44" t="e">
        <f>BC40*3</f>
        <v>#DIV/0!</v>
      </c>
      <c r="BD41" s="173"/>
      <c r="BE41" s="260"/>
      <c r="BF41" s="22"/>
      <c r="BG41" s="236"/>
      <c r="BH41" s="236"/>
      <c r="BI41" s="88"/>
      <c r="BJ41" s="88"/>
      <c r="BK41" s="164"/>
      <c r="BL41" s="165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65"/>
    </row>
    <row r="42" spans="1:80" ht="18" customHeight="1" thickBot="1" thickTop="1">
      <c r="A42" s="257"/>
      <c r="B42" s="86"/>
      <c r="C42" s="170"/>
      <c r="D42" s="170"/>
      <c r="E42" s="171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203"/>
      <c r="AW42" s="178">
        <f>AW40-AY40</f>
        <v>0</v>
      </c>
      <c r="AX42" s="178"/>
      <c r="AY42" s="178"/>
      <c r="AZ42" s="177"/>
      <c r="BA42" s="174"/>
      <c r="BB42" s="180"/>
      <c r="BC42" s="50" t="e">
        <f>AVERAGE(F42:AU42)</f>
        <v>#DIV/0!</v>
      </c>
      <c r="BD42" s="173"/>
      <c r="BE42" s="261"/>
      <c r="BF42" s="22"/>
      <c r="BG42" s="236"/>
      <c r="BH42" s="236"/>
      <c r="BI42" s="88"/>
      <c r="BJ42" s="88"/>
      <c r="BK42" s="164"/>
      <c r="BL42" s="165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65"/>
    </row>
    <row r="43" spans="1:80" ht="18" customHeight="1" thickBot="1" thickTop="1">
      <c r="A43" s="255">
        <f>VLOOKUP(C43,Исходник!$A$3:$Y$44,25,FALSE)</f>
        <v>19</v>
      </c>
      <c r="B43" s="84"/>
      <c r="C43" s="166" t="str">
        <f>VLOOKUP(B44,Исходник!$AF$3:$AY$44,20,FALSE)</f>
        <v>Сердюк Владимир
СФДМ, Москва</v>
      </c>
      <c r="D43" s="166"/>
      <c r="E43" s="167"/>
      <c r="F43" s="38"/>
      <c r="G43" s="188"/>
      <c r="H43" s="189"/>
      <c r="I43" s="38"/>
      <c r="J43" s="188"/>
      <c r="K43" s="189"/>
      <c r="L43" s="51"/>
      <c r="M43" s="188"/>
      <c r="N43" s="189"/>
      <c r="O43" s="38"/>
      <c r="P43" s="188"/>
      <c r="Q43" s="189"/>
      <c r="R43" s="38"/>
      <c r="S43" s="188"/>
      <c r="T43" s="189"/>
      <c r="U43" s="38"/>
      <c r="V43" s="188"/>
      <c r="W43" s="189"/>
      <c r="X43" s="38"/>
      <c r="Y43" s="188"/>
      <c r="Z43" s="189"/>
      <c r="AA43" s="38"/>
      <c r="AB43" s="188"/>
      <c r="AC43" s="189"/>
      <c r="AD43" s="38"/>
      <c r="AE43" s="188"/>
      <c r="AF43" s="189"/>
      <c r="AG43" s="38"/>
      <c r="AH43" s="188"/>
      <c r="AI43" s="189"/>
      <c r="AJ43" s="38"/>
      <c r="AK43" s="188"/>
      <c r="AL43" s="189"/>
      <c r="AM43" s="38"/>
      <c r="AN43" s="188"/>
      <c r="AO43" s="189"/>
      <c r="AP43" s="26"/>
      <c r="AQ43" s="211"/>
      <c r="AR43" s="212"/>
      <c r="AS43" s="38"/>
      <c r="AT43" s="188"/>
      <c r="AU43" s="189"/>
      <c r="AV43" s="201">
        <f>COUNTIF(F44:AU44,"в")</f>
        <v>0</v>
      </c>
      <c r="AW43" s="179">
        <f>F44+I44+L44+O44+R44+U44+X44+AA44+AD44+AG44+AJ44+AM44+AP44+AS44</f>
        <v>0</v>
      </c>
      <c r="AX43" s="184" t="s">
        <v>2</v>
      </c>
      <c r="AY43" s="183">
        <f>AU44+AR44+AO44+AL44+AI44+AF44+AC44+Z44+W44+T44+Q44+N44+K44+H44</f>
        <v>0</v>
      </c>
      <c r="AZ43" s="175">
        <f>IF(BL43=0,0,RANK(BL43,$BL$7:$BL$48,0))</f>
        <v>0</v>
      </c>
      <c r="BA43" s="174">
        <f>IF(BL43=0,0,VLOOKUP(AZ43,$BG$7:$BH$48,2,FALSE))</f>
        <v>0</v>
      </c>
      <c r="BB43" s="180">
        <f>A43+BA43</f>
        <v>19</v>
      </c>
      <c r="BC43" s="39" t="e">
        <f>AVERAGE(G43,J43,M43,P43,S43,V43,Y43,AB43,AE43,AH43,AK43,AN43,AQ43,AT43)</f>
        <v>#DIV/0!</v>
      </c>
      <c r="BD43" s="172">
        <f>F43+AS43+AP43+AM43+AJ43+AG43+AD43+AA43+X43+U43+R43+O43+L43+I43</f>
        <v>0</v>
      </c>
      <c r="BE43" s="259"/>
      <c r="BF43" s="22"/>
      <c r="BG43" s="236">
        <v>13</v>
      </c>
      <c r="BH43" s="236">
        <v>5</v>
      </c>
      <c r="BI43" s="88"/>
      <c r="BJ43" s="88"/>
      <c r="BK43" s="164">
        <f>IF((AV43+AW45*0.001)=0,0,AV43+AW45*0.001+1)</f>
        <v>0</v>
      </c>
      <c r="BL43" s="165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65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56"/>
      <c r="B44" s="85">
        <v>13</v>
      </c>
      <c r="C44" s="168"/>
      <c r="D44" s="168"/>
      <c r="E44" s="169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202"/>
      <c r="AW44" s="179"/>
      <c r="AX44" s="184"/>
      <c r="AY44" s="183"/>
      <c r="AZ44" s="176"/>
      <c r="BA44" s="174"/>
      <c r="BB44" s="180"/>
      <c r="BC44" s="44" t="e">
        <f>BC43*3</f>
        <v>#DIV/0!</v>
      </c>
      <c r="BD44" s="173"/>
      <c r="BE44" s="260"/>
      <c r="BF44" s="22"/>
      <c r="BG44" s="236"/>
      <c r="BH44" s="236"/>
      <c r="BI44" s="88"/>
      <c r="BJ44" s="88"/>
      <c r="BK44" s="164"/>
      <c r="BL44" s="165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65"/>
    </row>
    <row r="45" spans="1:80" ht="18" customHeight="1" thickBot="1" thickTop="1">
      <c r="A45" s="257"/>
      <c r="B45" s="86"/>
      <c r="C45" s="170"/>
      <c r="D45" s="170"/>
      <c r="E45" s="171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203"/>
      <c r="AW45" s="178">
        <f>AW43-AY43</f>
        <v>0</v>
      </c>
      <c r="AX45" s="178"/>
      <c r="AY45" s="178"/>
      <c r="AZ45" s="177"/>
      <c r="BA45" s="174"/>
      <c r="BB45" s="180"/>
      <c r="BC45" s="50" t="e">
        <f>AVERAGE(F45:AU45)</f>
        <v>#DIV/0!</v>
      </c>
      <c r="BD45" s="173"/>
      <c r="BE45" s="261"/>
      <c r="BF45" s="22"/>
      <c r="BG45" s="236"/>
      <c r="BH45" s="236"/>
      <c r="BI45" s="88"/>
      <c r="BJ45" s="88"/>
      <c r="BK45" s="164"/>
      <c r="BL45" s="165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65"/>
    </row>
    <row r="46" spans="1:80" ht="18" customHeight="1" thickBot="1" thickTop="1">
      <c r="A46" s="255">
        <f>VLOOKUP(C46,Исходник!$A$3:$Y$44,25,FALSE)</f>
        <v>8</v>
      </c>
      <c r="B46" s="84"/>
      <c r="C46" s="166" t="str">
        <f>VLOOKUP(B47,Исходник!$AF$3:$AY$44,20,FALSE)</f>
        <v>Акутов Александр
СФДМ, Москва</v>
      </c>
      <c r="D46" s="166"/>
      <c r="E46" s="167"/>
      <c r="F46" s="38"/>
      <c r="G46" s="188"/>
      <c r="H46" s="189"/>
      <c r="I46" s="38"/>
      <c r="J46" s="188"/>
      <c r="K46" s="189"/>
      <c r="L46" s="38"/>
      <c r="M46" s="188"/>
      <c r="N46" s="189"/>
      <c r="O46" s="38"/>
      <c r="P46" s="188"/>
      <c r="Q46" s="189"/>
      <c r="R46" s="38"/>
      <c r="S46" s="188"/>
      <c r="T46" s="189"/>
      <c r="U46" s="38"/>
      <c r="V46" s="188"/>
      <c r="W46" s="189"/>
      <c r="X46" s="38"/>
      <c r="Y46" s="188"/>
      <c r="Z46" s="189"/>
      <c r="AA46" s="38"/>
      <c r="AB46" s="188"/>
      <c r="AC46" s="189"/>
      <c r="AD46" s="38"/>
      <c r="AE46" s="188"/>
      <c r="AF46" s="189"/>
      <c r="AG46" s="38"/>
      <c r="AH46" s="188"/>
      <c r="AI46" s="189"/>
      <c r="AJ46" s="38"/>
      <c r="AK46" s="188"/>
      <c r="AL46" s="189"/>
      <c r="AM46" s="38"/>
      <c r="AN46" s="188"/>
      <c r="AO46" s="189"/>
      <c r="AP46" s="38"/>
      <c r="AQ46" s="188"/>
      <c r="AR46" s="189"/>
      <c r="AS46" s="26"/>
      <c r="AT46" s="211"/>
      <c r="AU46" s="212"/>
      <c r="AV46" s="201">
        <f>COUNTIF(F47:AU47,"в")</f>
        <v>0</v>
      </c>
      <c r="AW46" s="179">
        <f>F47+I47+L47+O47+R47+U47+X47+AA47+AD47+AG47+AJ47+AM47+AP47+AS47</f>
        <v>0</v>
      </c>
      <c r="AX46" s="184" t="s">
        <v>2</v>
      </c>
      <c r="AY46" s="183">
        <f>AU47+AR47+AO47+AL47+AI47+AF47+AC47+Z47+W47+T47+Q47+N47+K47+H47</f>
        <v>0</v>
      </c>
      <c r="AZ46" s="175">
        <f>IF(BL46=0,0,RANK(BL46,$BL$7:$BL$48,0))</f>
        <v>0</v>
      </c>
      <c r="BA46" s="174">
        <f>IF(BL46=0,0,VLOOKUP(AZ46,$BG$7:$BH$48,2,FALSE))</f>
        <v>0</v>
      </c>
      <c r="BB46" s="180">
        <f>A46+BA46</f>
        <v>8</v>
      </c>
      <c r="BC46" s="39" t="e">
        <f>AVERAGE(G46,J46,M46,P46,S46,V46,Y46,AB46,AE46,AH46,AK46,AN46,AQ46,AT46)</f>
        <v>#DIV/0!</v>
      </c>
      <c r="BD46" s="172">
        <f>F46+AS46+AP46+AM46+AJ46+AG46+AD46+AA46+X46+U46+R46+O46+L46+I46</f>
        <v>0</v>
      </c>
      <c r="BE46" s="259"/>
      <c r="BF46" s="22"/>
      <c r="BG46" s="236">
        <v>14</v>
      </c>
      <c r="BH46" s="236">
        <v>4</v>
      </c>
      <c r="BI46" s="88"/>
      <c r="BJ46" s="88"/>
      <c r="BK46" s="164">
        <f>IF((AV46+AW48*0.001)=0,0,AV46+AW48*0.001+1)</f>
        <v>0</v>
      </c>
      <c r="BL46" s="165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65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56"/>
      <c r="B47" s="85">
        <v>14</v>
      </c>
      <c r="C47" s="168"/>
      <c r="D47" s="168"/>
      <c r="E47" s="169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202"/>
      <c r="AW47" s="179"/>
      <c r="AX47" s="184"/>
      <c r="AY47" s="183"/>
      <c r="AZ47" s="176"/>
      <c r="BA47" s="174"/>
      <c r="BB47" s="180"/>
      <c r="BC47" s="44" t="e">
        <f>BC46*3</f>
        <v>#DIV/0!</v>
      </c>
      <c r="BD47" s="173"/>
      <c r="BE47" s="260"/>
      <c r="BF47" s="22"/>
      <c r="BG47" s="236"/>
      <c r="BH47" s="236"/>
      <c r="BI47" s="88"/>
      <c r="BJ47" s="88"/>
      <c r="BK47" s="164"/>
      <c r="BL47" s="165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65"/>
    </row>
    <row r="48" spans="1:80" ht="18" customHeight="1" thickBot="1" thickTop="1">
      <c r="A48" s="257"/>
      <c r="B48" s="87"/>
      <c r="C48" s="292"/>
      <c r="D48" s="292"/>
      <c r="E48" s="293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203"/>
      <c r="AW48" s="178">
        <f>AW46-AY46</f>
        <v>0</v>
      </c>
      <c r="AX48" s="178"/>
      <c r="AY48" s="178"/>
      <c r="AZ48" s="177"/>
      <c r="BA48" s="174"/>
      <c r="BB48" s="180"/>
      <c r="BC48" s="67" t="e">
        <f>AVERAGE(F48:AU48)</f>
        <v>#DIV/0!</v>
      </c>
      <c r="BD48" s="173"/>
      <c r="BE48" s="172"/>
      <c r="BF48" s="22"/>
      <c r="BG48" s="236"/>
      <c r="BH48" s="236"/>
      <c r="BI48" s="88"/>
      <c r="BJ48" s="88"/>
      <c r="BK48" s="164"/>
      <c r="BL48" s="165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65"/>
    </row>
    <row r="49" spans="59:80" ht="13.5" thickTop="1">
      <c r="BG49" s="88"/>
      <c r="BH49" s="88"/>
      <c r="BI49" s="88"/>
      <c r="BJ49" s="88"/>
      <c r="BK49" s="164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64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64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64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64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64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64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64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64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64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64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64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64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64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64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64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64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64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64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64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64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64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64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64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64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64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64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64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64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64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64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64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64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64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64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64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64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64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64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64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64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64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</sheetData>
  <sheetProtection sheet="1" formatCells="0" formatColumns="0" formatRows="0" deleteColumns="0" deleteRows="0" sort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" operator="greaterThanOrEqual" stopIfTrue="1">
      <formula>1</formula>
    </cfRule>
  </conditionalFormatting>
  <conditionalFormatting sqref="BC7">
    <cfRule type="cellIs" priority="768" dxfId="3" operator="between" stopIfTrue="1">
      <formula>21</formula>
      <formula>22.99999999</formula>
    </cfRule>
    <cfRule type="cellIs" priority="769" dxfId="2" operator="between" stopIfTrue="1">
      <formula>23</formula>
      <formula>26.999</formula>
    </cfRule>
    <cfRule type="cellIs" priority="770" dxfId="1" operator="greaterThanOrEqual" stopIfTrue="1">
      <formula>27</formula>
    </cfRule>
  </conditionalFormatting>
  <conditionalFormatting sqref="BC10 BC13 BC16 BC19 BC22 BC25 BC28 BC31 BC34 BC37 BC40 BC43 BC46">
    <cfRule type="cellIs" priority="762" dxfId="3" operator="between" stopIfTrue="1">
      <formula>21</formula>
      <formula>22.99999999</formula>
    </cfRule>
    <cfRule type="cellIs" priority="763" dxfId="2" operator="between" stopIfTrue="1">
      <formula>23</formula>
      <formula>26.999</formula>
    </cfRule>
    <cfRule type="cellIs" priority="764" dxfId="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" operator="greaterThanOrEqual" stopIfTrue="1">
      <formula>1</formula>
    </cfRule>
  </conditionalFormatting>
  <conditionalFormatting sqref="BC28 BC31 BC34 BC37 BC40 BC43 BC46 BC7 BC10 BC13 BC16 BC19 BC22 BC25">
    <cfRule type="cellIs" priority="728" dxfId="3" operator="between" stopIfTrue="1">
      <formula>21</formula>
      <formula>22.99999999</formula>
    </cfRule>
    <cfRule type="cellIs" priority="729" dxfId="2" operator="between" stopIfTrue="1">
      <formula>23</formula>
      <formula>26.999</formula>
    </cfRule>
    <cfRule type="cellIs" priority="730" dxfId="1" operator="greaterThanOrEqual" stopIfTrue="1">
      <formula>27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3" operator="between" stopIfTrue="1">
      <formula>21</formula>
      <formula>22.99999999</formula>
    </cfRule>
    <cfRule type="cellIs" priority="22" dxfId="2" operator="between" stopIfTrue="1">
      <formula>23</formula>
      <formula>26.999</formula>
    </cfRule>
    <cfRule type="cellIs" priority="23" dxfId="1" operator="greaterThanOrEqual" stopIfTrue="1">
      <formula>27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92"/>
  <sheetViews>
    <sheetView zoomScale="50" zoomScaleNormal="50" zoomScalePageLayoutView="0" workbookViewId="0" topLeftCell="A1">
      <selection activeCell="C7" sqref="C7:E9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37" t="s">
        <v>52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  <c r="L1" s="243" t="s">
        <v>54</v>
      </c>
      <c r="M1" s="244"/>
      <c r="N1" s="244"/>
      <c r="O1" s="244"/>
      <c r="P1" s="244"/>
      <c r="Q1" s="244"/>
      <c r="R1" s="244"/>
      <c r="S1" s="244"/>
      <c r="T1" s="245"/>
      <c r="U1" s="283"/>
      <c r="V1" s="284"/>
      <c r="W1" s="284"/>
      <c r="X1" s="284"/>
      <c r="Y1" s="284"/>
      <c r="Z1" s="285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2"/>
      <c r="L2" s="246"/>
      <c r="M2" s="247"/>
      <c r="N2" s="247"/>
      <c r="O2" s="247"/>
      <c r="P2" s="247"/>
      <c r="Q2" s="247"/>
      <c r="R2" s="247"/>
      <c r="S2" s="247"/>
      <c r="T2" s="248"/>
      <c r="U2" s="286"/>
      <c r="V2" s="287"/>
      <c r="W2" s="287"/>
      <c r="X2" s="287"/>
      <c r="Y2" s="287"/>
      <c r="Z2" s="288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246"/>
      <c r="M3" s="247"/>
      <c r="N3" s="247"/>
      <c r="O3" s="247"/>
      <c r="P3" s="247"/>
      <c r="Q3" s="247"/>
      <c r="R3" s="247"/>
      <c r="S3" s="247"/>
      <c r="T3" s="248"/>
      <c r="U3" s="286"/>
      <c r="V3" s="287"/>
      <c r="W3" s="287"/>
      <c r="X3" s="287"/>
      <c r="Y3" s="287"/>
      <c r="Z3" s="288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89" t="s">
        <v>16</v>
      </c>
      <c r="B4" s="219" t="s">
        <v>19</v>
      </c>
      <c r="C4" s="220"/>
      <c r="D4" s="220"/>
      <c r="E4" s="221"/>
      <c r="F4" s="57"/>
      <c r="G4" s="204"/>
      <c r="H4" s="205"/>
      <c r="I4" s="57"/>
      <c r="J4" s="204"/>
      <c r="K4" s="205"/>
      <c r="L4" s="57"/>
      <c r="M4" s="204"/>
      <c r="N4" s="205"/>
      <c r="O4" s="57"/>
      <c r="P4" s="204"/>
      <c r="Q4" s="205"/>
      <c r="R4" s="57"/>
      <c r="S4" s="204"/>
      <c r="T4" s="205"/>
      <c r="U4" s="57"/>
      <c r="V4" s="204"/>
      <c r="W4" s="205"/>
      <c r="X4" s="57"/>
      <c r="Y4" s="204"/>
      <c r="Z4" s="205"/>
      <c r="AA4" s="57"/>
      <c r="AB4" s="58"/>
      <c r="AC4" s="59"/>
      <c r="AD4" s="57"/>
      <c r="AE4" s="204"/>
      <c r="AF4" s="205"/>
      <c r="AG4" s="57"/>
      <c r="AH4" s="204"/>
      <c r="AI4" s="205"/>
      <c r="AJ4" s="57"/>
      <c r="AK4" s="204"/>
      <c r="AL4" s="205"/>
      <c r="AM4" s="57"/>
      <c r="AN4" s="204"/>
      <c r="AO4" s="205"/>
      <c r="AP4" s="57"/>
      <c r="AQ4" s="204"/>
      <c r="AR4" s="205"/>
      <c r="AS4" s="57"/>
      <c r="AT4" s="204"/>
      <c r="AU4" s="205"/>
      <c r="AV4" s="208" t="s">
        <v>0</v>
      </c>
      <c r="AW4" s="192" t="s">
        <v>9</v>
      </c>
      <c r="AX4" s="193"/>
      <c r="AY4" s="194"/>
      <c r="AZ4" s="192" t="s">
        <v>1</v>
      </c>
      <c r="BA4" s="185" t="s">
        <v>14</v>
      </c>
      <c r="BB4" s="185" t="s">
        <v>15</v>
      </c>
      <c r="BC4" s="60" t="s">
        <v>10</v>
      </c>
      <c r="BD4" s="181">
        <v>180</v>
      </c>
      <c r="BE4" s="263" t="s">
        <v>21</v>
      </c>
      <c r="BF4" s="22"/>
      <c r="BG4" s="258" t="s">
        <v>18</v>
      </c>
      <c r="BH4" s="258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90"/>
      <c r="B5" s="222"/>
      <c r="C5" s="223"/>
      <c r="D5" s="223"/>
      <c r="E5" s="224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209"/>
      <c r="AW5" s="195"/>
      <c r="AX5" s="196"/>
      <c r="AY5" s="197"/>
      <c r="AZ5" s="195"/>
      <c r="BA5" s="186"/>
      <c r="BB5" s="186"/>
      <c r="BC5" s="30" t="s">
        <v>11</v>
      </c>
      <c r="BD5" s="182"/>
      <c r="BE5" s="264"/>
      <c r="BF5" s="22"/>
      <c r="BG5" s="258"/>
      <c r="BH5" s="258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91"/>
      <c r="B6" s="225"/>
      <c r="C6" s="226"/>
      <c r="D6" s="226"/>
      <c r="E6" s="227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210"/>
      <c r="AW6" s="198"/>
      <c r="AX6" s="199"/>
      <c r="AY6" s="200"/>
      <c r="AZ6" s="198"/>
      <c r="BA6" s="187"/>
      <c r="BB6" s="187"/>
      <c r="BC6" s="37" t="s">
        <v>12</v>
      </c>
      <c r="BD6" s="182"/>
      <c r="BE6" s="264"/>
      <c r="BF6" s="22"/>
      <c r="BG6" s="258"/>
      <c r="BH6" s="258"/>
      <c r="BI6" s="22"/>
      <c r="BJ6" s="22"/>
      <c r="BK6" s="22" t="s">
        <v>48</v>
      </c>
      <c r="BL6" s="22" t="s">
        <v>49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255">
        <f>VLOOKUP(C7,Исходник!$A$3:$Y$44,25,FALSE)</f>
        <v>79</v>
      </c>
      <c r="B7" s="84"/>
      <c r="C7" s="166" t="str">
        <f>VLOOKUP(B8,Исходник!$AF$3:$AY$44,20,FALSE)</f>
        <v>Шашеро Антон
СФДМ, Москва</v>
      </c>
      <c r="D7" s="166"/>
      <c r="E7" s="167"/>
      <c r="F7" s="26"/>
      <c r="G7" s="211"/>
      <c r="H7" s="211"/>
      <c r="I7" s="38"/>
      <c r="J7" s="188"/>
      <c r="K7" s="189"/>
      <c r="L7" s="38"/>
      <c r="M7" s="188"/>
      <c r="N7" s="189"/>
      <c r="O7" s="38"/>
      <c r="P7" s="188"/>
      <c r="Q7" s="189"/>
      <c r="R7" s="38"/>
      <c r="S7" s="188"/>
      <c r="T7" s="189"/>
      <c r="U7" s="38"/>
      <c r="V7" s="188"/>
      <c r="W7" s="189"/>
      <c r="X7" s="38"/>
      <c r="Y7" s="188"/>
      <c r="Z7" s="189"/>
      <c r="AA7" s="38"/>
      <c r="AB7" s="188"/>
      <c r="AC7" s="189"/>
      <c r="AD7" s="38"/>
      <c r="AE7" s="188"/>
      <c r="AF7" s="189"/>
      <c r="AG7" s="38"/>
      <c r="AH7" s="188"/>
      <c r="AI7" s="189"/>
      <c r="AJ7" s="38"/>
      <c r="AK7" s="188"/>
      <c r="AL7" s="189"/>
      <c r="AM7" s="38"/>
      <c r="AN7" s="188"/>
      <c r="AO7" s="189"/>
      <c r="AP7" s="38"/>
      <c r="AQ7" s="188"/>
      <c r="AR7" s="189"/>
      <c r="AS7" s="38"/>
      <c r="AT7" s="188"/>
      <c r="AU7" s="189"/>
      <c r="AV7" s="201">
        <f>COUNTIF(F8:AU8,"в")</f>
        <v>0</v>
      </c>
      <c r="AW7" s="179">
        <f>F8+I8+L8+O8+R8+U8+X8+AA8+AD8+AG8+AJ8+AM8+AP8+AS8</f>
        <v>0</v>
      </c>
      <c r="AX7" s="184" t="s">
        <v>2</v>
      </c>
      <c r="AY7" s="183">
        <f>AU8+AR8+AO8+AL8+AI8+AF8+AC8+Z8+W8+T8+Q8+N8+K8+H8</f>
        <v>0</v>
      </c>
      <c r="AZ7" s="175">
        <f>IF(BL7=0,0,RANK(BL7,$BL$7:$BL$48,0))</f>
        <v>0</v>
      </c>
      <c r="BA7" s="174">
        <f>IF(BL7=0,0,VLOOKUP(AZ7,$BG$7:$BH$48,2,FALSE))</f>
        <v>0</v>
      </c>
      <c r="BB7" s="180">
        <f>A7+BA7</f>
        <v>79</v>
      </c>
      <c r="BC7" s="39" t="e">
        <f>AVERAGE(G7,J7,M7,P7,S7,V7,Y7,AB7,AE7,AH7,AK7,AN7,AQ7,AT7)</f>
        <v>#DIV/0!</v>
      </c>
      <c r="BD7" s="173">
        <f>F7+AS7+AP7+AM7+AJ7+AG7+AD7+AA7+X7+U7+R7+O7+L7+I7</f>
        <v>0</v>
      </c>
      <c r="BE7" s="265"/>
      <c r="BF7" s="22"/>
      <c r="BG7" s="236">
        <v>1</v>
      </c>
      <c r="BH7" s="236">
        <v>30</v>
      </c>
      <c r="BI7" s="88"/>
      <c r="BJ7" s="88"/>
      <c r="BK7" s="164">
        <f>IF((AV7+AW9*0.001)=0,0,AV7+AW9*0.001+1)</f>
        <v>0</v>
      </c>
      <c r="BL7" s="165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65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56"/>
      <c r="B8" s="85">
        <v>1</v>
      </c>
      <c r="C8" s="168"/>
      <c r="D8" s="168"/>
      <c r="E8" s="169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202"/>
      <c r="AW8" s="179"/>
      <c r="AX8" s="184"/>
      <c r="AY8" s="183"/>
      <c r="AZ8" s="176"/>
      <c r="BA8" s="174"/>
      <c r="BB8" s="180"/>
      <c r="BC8" s="44" t="e">
        <f>BC7*3</f>
        <v>#DIV/0!</v>
      </c>
      <c r="BD8" s="173"/>
      <c r="BE8" s="266"/>
      <c r="BF8" s="22"/>
      <c r="BG8" s="236"/>
      <c r="BH8" s="236"/>
      <c r="BI8" s="88"/>
      <c r="BJ8" s="88"/>
      <c r="BK8" s="164"/>
      <c r="BL8" s="165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65"/>
    </row>
    <row r="9" spans="1:80" ht="18" customHeight="1" thickBot="1" thickTop="1">
      <c r="A9" s="257"/>
      <c r="B9" s="86"/>
      <c r="C9" s="170"/>
      <c r="D9" s="170"/>
      <c r="E9" s="171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203"/>
      <c r="AW9" s="178">
        <f>AW7-AY7</f>
        <v>0</v>
      </c>
      <c r="AX9" s="178"/>
      <c r="AY9" s="178"/>
      <c r="AZ9" s="177"/>
      <c r="BA9" s="174"/>
      <c r="BB9" s="180"/>
      <c r="BC9" s="50" t="e">
        <f>AVERAGE(F9:AU9)</f>
        <v>#DIV/0!</v>
      </c>
      <c r="BD9" s="173"/>
      <c r="BE9" s="267"/>
      <c r="BF9" s="22"/>
      <c r="BG9" s="236"/>
      <c r="BH9" s="236"/>
      <c r="BI9" s="88"/>
      <c r="BJ9" s="88"/>
      <c r="BK9" s="164"/>
      <c r="BL9" s="165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65"/>
    </row>
    <row r="10" spans="1:80" ht="18" customHeight="1" thickBot="1" thickTop="1">
      <c r="A10" s="255">
        <f>VLOOKUP(C10,Исходник!$A$3:$Y$44,25,FALSE)</f>
        <v>76</v>
      </c>
      <c r="B10" s="84"/>
      <c r="C10" s="166" t="str">
        <f>VLOOKUP(B11,Исходник!$AF$3:$AY$44,20,FALSE)</f>
        <v>Сущенко Сергей
СФДМ, Москва</v>
      </c>
      <c r="D10" s="166"/>
      <c r="E10" s="167"/>
      <c r="F10" s="51"/>
      <c r="G10" s="188"/>
      <c r="H10" s="189"/>
      <c r="I10" s="25"/>
      <c r="J10" s="211"/>
      <c r="K10" s="212"/>
      <c r="L10" s="38"/>
      <c r="M10" s="188"/>
      <c r="N10" s="189"/>
      <c r="O10" s="38"/>
      <c r="P10" s="188"/>
      <c r="Q10" s="189"/>
      <c r="R10" s="38"/>
      <c r="S10" s="188"/>
      <c r="T10" s="189"/>
      <c r="U10" s="38"/>
      <c r="V10" s="188"/>
      <c r="W10" s="189"/>
      <c r="X10" s="38"/>
      <c r="Y10" s="188"/>
      <c r="Z10" s="189"/>
      <c r="AA10" s="38"/>
      <c r="AB10" s="188"/>
      <c r="AC10" s="189"/>
      <c r="AD10" s="38"/>
      <c r="AE10" s="188"/>
      <c r="AF10" s="189"/>
      <c r="AG10" s="38"/>
      <c r="AH10" s="188"/>
      <c r="AI10" s="189"/>
      <c r="AJ10" s="38"/>
      <c r="AK10" s="188"/>
      <c r="AL10" s="189"/>
      <c r="AM10" s="38"/>
      <c r="AN10" s="188"/>
      <c r="AO10" s="189"/>
      <c r="AP10" s="38"/>
      <c r="AQ10" s="188"/>
      <c r="AR10" s="189"/>
      <c r="AS10" s="38"/>
      <c r="AT10" s="188"/>
      <c r="AU10" s="189"/>
      <c r="AV10" s="201">
        <f>COUNTIF(F11:AU11,"в")</f>
        <v>0</v>
      </c>
      <c r="AW10" s="179">
        <f>F11+I11+L11+O11+R11+U11+X11+AA11+AD11+AG11+AJ11+AM11+AP11+AS11</f>
        <v>0</v>
      </c>
      <c r="AX10" s="184" t="s">
        <v>2</v>
      </c>
      <c r="AY10" s="183">
        <f>AU11+AR11+AO11+AL11+AI11+AF11+AC11+Z11+W11+T11+Q11+N11+K11+H11</f>
        <v>0</v>
      </c>
      <c r="AZ10" s="175">
        <f>IF(BL10=0,0,RANK(BL10,$BL$7:$BL$48,0))</f>
        <v>0</v>
      </c>
      <c r="BA10" s="174">
        <f>IF(BL10=0,0,VLOOKUP(AZ10,$BG$7:$BH$48,2,FALSE))</f>
        <v>0</v>
      </c>
      <c r="BB10" s="180">
        <f>A10+BA10</f>
        <v>76</v>
      </c>
      <c r="BC10" s="39" t="e">
        <f>AVERAGE(G10,J10,M10,P10,S10,V10,Y10,AB10,AE10,AH10,AK10,AN10,AQ10,AT10)</f>
        <v>#DIV/0!</v>
      </c>
      <c r="BD10" s="172">
        <f>F10+AS10+AP10+AM10+AJ10+AG10+AD10+AA10+X10+U10+R10+O10+L10+I10</f>
        <v>0</v>
      </c>
      <c r="BE10" s="259"/>
      <c r="BF10" s="22"/>
      <c r="BG10" s="236">
        <v>2</v>
      </c>
      <c r="BH10" s="236">
        <v>26</v>
      </c>
      <c r="BI10" s="88"/>
      <c r="BJ10" s="88"/>
      <c r="BK10" s="164">
        <f>IF((AV10+AW12*0.001)=0,0,AV10+AW12*0.001+1)</f>
        <v>0</v>
      </c>
      <c r="BL10" s="165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165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56"/>
      <c r="B11" s="85">
        <v>2</v>
      </c>
      <c r="C11" s="168"/>
      <c r="D11" s="168"/>
      <c r="E11" s="169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202"/>
      <c r="AW11" s="179"/>
      <c r="AX11" s="184"/>
      <c r="AY11" s="183"/>
      <c r="AZ11" s="176"/>
      <c r="BA11" s="174"/>
      <c r="BB11" s="180"/>
      <c r="BC11" s="44" t="e">
        <f>BC10*3</f>
        <v>#DIV/0!</v>
      </c>
      <c r="BD11" s="173"/>
      <c r="BE11" s="260"/>
      <c r="BF11" s="22"/>
      <c r="BG11" s="236"/>
      <c r="BH11" s="236"/>
      <c r="BI11" s="88"/>
      <c r="BJ11" s="88"/>
      <c r="BK11" s="164"/>
      <c r="BL11" s="165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65"/>
    </row>
    <row r="12" spans="1:80" ht="18" customHeight="1" thickBot="1" thickTop="1">
      <c r="A12" s="257"/>
      <c r="B12" s="86"/>
      <c r="C12" s="170"/>
      <c r="D12" s="170"/>
      <c r="E12" s="171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203"/>
      <c r="AW12" s="178">
        <f>AW10-AY10</f>
        <v>0</v>
      </c>
      <c r="AX12" s="178"/>
      <c r="AY12" s="178"/>
      <c r="AZ12" s="177"/>
      <c r="BA12" s="174"/>
      <c r="BB12" s="180"/>
      <c r="BC12" s="50" t="e">
        <f>AVERAGE(F12:AU12)</f>
        <v>#DIV/0!</v>
      </c>
      <c r="BD12" s="173"/>
      <c r="BE12" s="261"/>
      <c r="BF12" s="22"/>
      <c r="BG12" s="236"/>
      <c r="BH12" s="236"/>
      <c r="BI12" s="88"/>
      <c r="BJ12" s="88"/>
      <c r="BK12" s="164"/>
      <c r="BL12" s="165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65"/>
    </row>
    <row r="13" spans="1:80" ht="18" customHeight="1" thickBot="1" thickTop="1">
      <c r="A13" s="255">
        <f>VLOOKUP(C13,Исходник!$A$3:$Y$44,25,FALSE)</f>
        <v>60</v>
      </c>
      <c r="B13" s="84"/>
      <c r="C13" s="166" t="str">
        <f>VLOOKUP(B14,Исходник!$AF$3:$AY$44,20,FALSE)</f>
        <v>Новоселов Павел
СФДМ, Москва</v>
      </c>
      <c r="D13" s="166"/>
      <c r="E13" s="167"/>
      <c r="F13" s="38"/>
      <c r="G13" s="188"/>
      <c r="H13" s="189"/>
      <c r="I13" s="38"/>
      <c r="J13" s="188"/>
      <c r="K13" s="189"/>
      <c r="L13" s="26"/>
      <c r="M13" s="211"/>
      <c r="N13" s="212"/>
      <c r="O13" s="38"/>
      <c r="P13" s="188"/>
      <c r="Q13" s="189"/>
      <c r="R13" s="38"/>
      <c r="S13" s="188"/>
      <c r="T13" s="189"/>
      <c r="U13" s="38"/>
      <c r="V13" s="188"/>
      <c r="W13" s="189"/>
      <c r="X13" s="38"/>
      <c r="Y13" s="188"/>
      <c r="Z13" s="189"/>
      <c r="AA13" s="38"/>
      <c r="AB13" s="188"/>
      <c r="AC13" s="189"/>
      <c r="AD13" s="38"/>
      <c r="AE13" s="188"/>
      <c r="AF13" s="189"/>
      <c r="AG13" s="38"/>
      <c r="AH13" s="188"/>
      <c r="AI13" s="189"/>
      <c r="AJ13" s="38"/>
      <c r="AK13" s="188"/>
      <c r="AL13" s="189"/>
      <c r="AM13" s="38"/>
      <c r="AN13" s="188"/>
      <c r="AO13" s="189"/>
      <c r="AP13" s="38"/>
      <c r="AQ13" s="188"/>
      <c r="AR13" s="189"/>
      <c r="AS13" s="38"/>
      <c r="AT13" s="188"/>
      <c r="AU13" s="189"/>
      <c r="AV13" s="201">
        <f>COUNTIF(F14:AU14,"в")</f>
        <v>0</v>
      </c>
      <c r="AW13" s="179">
        <f>F14+I14+L14+O14+R14+U14+X14+AA14+AD14+AG14+AJ14+AM14+AP14+AS14</f>
        <v>0</v>
      </c>
      <c r="AX13" s="184" t="s">
        <v>2</v>
      </c>
      <c r="AY13" s="183">
        <f>AU14+AR14+AO14+AL14+AI14+AF14+AC14+Z14+W14+T14+Q14+N14+K14+H14</f>
        <v>0</v>
      </c>
      <c r="AZ13" s="175">
        <f>IF(BL13=0,0,RANK(BL13,$BL$7:$BL$48,0))</f>
        <v>0</v>
      </c>
      <c r="BA13" s="174">
        <f>IF(BL13=0,0,VLOOKUP(AZ13,$BG$7:$BH$48,2,FALSE))</f>
        <v>0</v>
      </c>
      <c r="BB13" s="180">
        <f>A13+BA13</f>
        <v>60</v>
      </c>
      <c r="BC13" s="39" t="e">
        <f>AVERAGE(G13,J13,M13,P13,S13,V13,Y13,AB13,AE13,AH13,AK13,AN13,AQ13,AT13)</f>
        <v>#DIV/0!</v>
      </c>
      <c r="BD13" s="172">
        <f>F13+AS13+AP13+AM13+AJ13+AG13+AD13+AA13+X13+U13+R13+O13+L13+I13</f>
        <v>0</v>
      </c>
      <c r="BE13" s="259"/>
      <c r="BF13" s="22"/>
      <c r="BG13" s="236">
        <v>3</v>
      </c>
      <c r="BH13" s="236">
        <v>23</v>
      </c>
      <c r="BI13" s="88"/>
      <c r="BJ13" s="88"/>
      <c r="BK13" s="164">
        <f>IF((AV13+AW15*0.001)=0,0,AV13+AW15*0.001+1)</f>
        <v>0</v>
      </c>
      <c r="BL13" s="165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165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56"/>
      <c r="B14" s="85">
        <v>3</v>
      </c>
      <c r="C14" s="168"/>
      <c r="D14" s="168"/>
      <c r="E14" s="169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202"/>
      <c r="AW14" s="179"/>
      <c r="AX14" s="184"/>
      <c r="AY14" s="183"/>
      <c r="AZ14" s="176"/>
      <c r="BA14" s="174"/>
      <c r="BB14" s="180"/>
      <c r="BC14" s="44" t="e">
        <f>BC13*3</f>
        <v>#DIV/0!</v>
      </c>
      <c r="BD14" s="173"/>
      <c r="BE14" s="260"/>
      <c r="BF14" s="22"/>
      <c r="BG14" s="236"/>
      <c r="BH14" s="236"/>
      <c r="BI14" s="88"/>
      <c r="BJ14" s="88"/>
      <c r="BK14" s="164"/>
      <c r="BL14" s="165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65"/>
    </row>
    <row r="15" spans="1:80" ht="18" customHeight="1" thickBot="1" thickTop="1">
      <c r="A15" s="257"/>
      <c r="B15" s="86"/>
      <c r="C15" s="170"/>
      <c r="D15" s="170"/>
      <c r="E15" s="171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203"/>
      <c r="AW15" s="178">
        <f>AW13-AY13</f>
        <v>0</v>
      </c>
      <c r="AX15" s="178"/>
      <c r="AY15" s="178"/>
      <c r="AZ15" s="177"/>
      <c r="BA15" s="174"/>
      <c r="BB15" s="180"/>
      <c r="BC15" s="50" t="e">
        <f>AVERAGE(F15:AU15)</f>
        <v>#DIV/0!</v>
      </c>
      <c r="BD15" s="173"/>
      <c r="BE15" s="261"/>
      <c r="BF15" s="22"/>
      <c r="BG15" s="236"/>
      <c r="BH15" s="236"/>
      <c r="BI15" s="88"/>
      <c r="BJ15" s="88"/>
      <c r="BK15" s="164"/>
      <c r="BL15" s="165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65"/>
    </row>
    <row r="16" spans="1:80" ht="18" customHeight="1" thickBot="1" thickTop="1">
      <c r="A16" s="255">
        <f>VLOOKUP(C16,Исходник!$A$3:$Y$44,25,FALSE)</f>
        <v>56</v>
      </c>
      <c r="B16" s="84"/>
      <c r="C16" s="166" t="str">
        <f>VLOOKUP(B17,Исходник!$AF$3:$AY$44,20,FALSE)</f>
        <v>Соболев Артем
СФДМ, Москва</v>
      </c>
      <c r="D16" s="166"/>
      <c r="E16" s="167"/>
      <c r="F16" s="38"/>
      <c r="G16" s="188"/>
      <c r="H16" s="189"/>
      <c r="I16" s="51"/>
      <c r="J16" s="188"/>
      <c r="K16" s="189"/>
      <c r="L16" s="51"/>
      <c r="M16" s="188"/>
      <c r="N16" s="189"/>
      <c r="O16" s="26"/>
      <c r="P16" s="211"/>
      <c r="Q16" s="212"/>
      <c r="R16" s="38"/>
      <c r="S16" s="188"/>
      <c r="T16" s="189"/>
      <c r="U16" s="38"/>
      <c r="V16" s="188"/>
      <c r="W16" s="189"/>
      <c r="X16" s="38"/>
      <c r="Y16" s="188"/>
      <c r="Z16" s="189"/>
      <c r="AA16" s="38"/>
      <c r="AB16" s="188"/>
      <c r="AC16" s="189"/>
      <c r="AD16" s="38"/>
      <c r="AE16" s="188"/>
      <c r="AF16" s="189"/>
      <c r="AG16" s="38"/>
      <c r="AH16" s="188"/>
      <c r="AI16" s="189"/>
      <c r="AJ16" s="38"/>
      <c r="AK16" s="188"/>
      <c r="AL16" s="189"/>
      <c r="AM16" s="38"/>
      <c r="AN16" s="188"/>
      <c r="AO16" s="189"/>
      <c r="AP16" s="38"/>
      <c r="AQ16" s="188"/>
      <c r="AR16" s="189"/>
      <c r="AS16" s="38"/>
      <c r="AT16" s="188"/>
      <c r="AU16" s="189"/>
      <c r="AV16" s="201">
        <f>COUNTIF(F17:AU17,"в")</f>
        <v>0</v>
      </c>
      <c r="AW16" s="179">
        <f>F17+I17+L17+O17+R17+U17+X17+AA17+AD17+AG17+AJ17+AM17+AP17+AS17</f>
        <v>0</v>
      </c>
      <c r="AX16" s="184" t="s">
        <v>2</v>
      </c>
      <c r="AY16" s="183">
        <f>AU17+AR17+AO17+AL17+AI17+AF17+AC17+Z17+W17+T17+Q17+N17+K17+H17</f>
        <v>0</v>
      </c>
      <c r="AZ16" s="175">
        <f>IF(BL16=0,0,RANK(BL16,$BL$7:$BL$48,0))</f>
        <v>0</v>
      </c>
      <c r="BA16" s="174">
        <f>IF(BL16=0,0,VLOOKUP(AZ16,$BG$7:$BH$48,2,FALSE))</f>
        <v>0</v>
      </c>
      <c r="BB16" s="180">
        <f>A16+BA16</f>
        <v>56</v>
      </c>
      <c r="BC16" s="39" t="e">
        <f>AVERAGE(G16,J16,M16,P16,S16,V16,Y16,AB16,AE16,AH16,AK16,AN16,AQ16,AT16)</f>
        <v>#DIV/0!</v>
      </c>
      <c r="BD16" s="172">
        <f>F16+AS16+AP16+AM16+AJ16+AG16+AD16+AA16+X16+U16+R16+O16+L16+I16</f>
        <v>0</v>
      </c>
      <c r="BE16" s="262"/>
      <c r="BF16" s="22"/>
      <c r="BG16" s="236">
        <v>4</v>
      </c>
      <c r="BH16" s="236">
        <v>20</v>
      </c>
      <c r="BI16" s="88"/>
      <c r="BJ16" s="88"/>
      <c r="BK16" s="164">
        <f>IF((AV16+AW18*0.001)=0,0,AV16+AW18*0.001+1)</f>
        <v>0</v>
      </c>
      <c r="BL16" s="165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165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56"/>
      <c r="B17" s="85">
        <v>4</v>
      </c>
      <c r="C17" s="168"/>
      <c r="D17" s="168"/>
      <c r="E17" s="169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202"/>
      <c r="AW17" s="179"/>
      <c r="AX17" s="184"/>
      <c r="AY17" s="183"/>
      <c r="AZ17" s="176"/>
      <c r="BA17" s="174"/>
      <c r="BB17" s="180"/>
      <c r="BC17" s="44" t="e">
        <f>BC16*3</f>
        <v>#DIV/0!</v>
      </c>
      <c r="BD17" s="173"/>
      <c r="BE17" s="260"/>
      <c r="BF17" s="22"/>
      <c r="BG17" s="236"/>
      <c r="BH17" s="236"/>
      <c r="BI17" s="88"/>
      <c r="BJ17" s="88"/>
      <c r="BK17" s="164"/>
      <c r="BL17" s="165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65"/>
    </row>
    <row r="18" spans="1:80" ht="18" customHeight="1" thickBot="1" thickTop="1">
      <c r="A18" s="257"/>
      <c r="B18" s="86"/>
      <c r="C18" s="170"/>
      <c r="D18" s="170"/>
      <c r="E18" s="171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203"/>
      <c r="AW18" s="178">
        <f>AW16-AY16</f>
        <v>0</v>
      </c>
      <c r="AX18" s="178"/>
      <c r="AY18" s="178"/>
      <c r="AZ18" s="177"/>
      <c r="BA18" s="174"/>
      <c r="BB18" s="180"/>
      <c r="BC18" s="50" t="e">
        <f>AVERAGE(F18:AU18)</f>
        <v>#DIV/0!</v>
      </c>
      <c r="BD18" s="173"/>
      <c r="BE18" s="261"/>
      <c r="BF18" s="22"/>
      <c r="BG18" s="236"/>
      <c r="BH18" s="236"/>
      <c r="BI18" s="88"/>
      <c r="BJ18" s="88"/>
      <c r="BK18" s="164"/>
      <c r="BL18" s="165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65"/>
    </row>
    <row r="19" spans="1:80" ht="18" customHeight="1" thickBot="1" thickTop="1">
      <c r="A19" s="255">
        <f>VLOOKUP(C19,Исходник!$A$3:$Y$44,25,FALSE)</f>
        <v>55</v>
      </c>
      <c r="B19" s="84"/>
      <c r="C19" s="166" t="str">
        <f>VLOOKUP(B20,Исходник!$AF$3:$AY$44,20,FALSE)</f>
        <v>Хроменко Олег
СФДМ, Москва</v>
      </c>
      <c r="D19" s="166"/>
      <c r="E19" s="167"/>
      <c r="F19" s="38"/>
      <c r="G19" s="228"/>
      <c r="H19" s="229"/>
      <c r="I19" s="38"/>
      <c r="J19" s="228"/>
      <c r="K19" s="229"/>
      <c r="L19" s="38"/>
      <c r="M19" s="228"/>
      <c r="N19" s="229"/>
      <c r="O19" s="38"/>
      <c r="P19" s="228"/>
      <c r="Q19" s="229"/>
      <c r="R19" s="26"/>
      <c r="S19" s="211"/>
      <c r="T19" s="212"/>
      <c r="U19" s="38"/>
      <c r="V19" s="188"/>
      <c r="W19" s="189"/>
      <c r="X19" s="38"/>
      <c r="Y19" s="188"/>
      <c r="Z19" s="189"/>
      <c r="AA19" s="38"/>
      <c r="AB19" s="188"/>
      <c r="AC19" s="189"/>
      <c r="AD19" s="38"/>
      <c r="AE19" s="188"/>
      <c r="AF19" s="189"/>
      <c r="AG19" s="38"/>
      <c r="AH19" s="188"/>
      <c r="AI19" s="189"/>
      <c r="AJ19" s="38"/>
      <c r="AK19" s="188"/>
      <c r="AL19" s="189"/>
      <c r="AM19" s="38"/>
      <c r="AN19" s="188"/>
      <c r="AO19" s="189"/>
      <c r="AP19" s="38"/>
      <c r="AQ19" s="188"/>
      <c r="AR19" s="189"/>
      <c r="AS19" s="38"/>
      <c r="AT19" s="188"/>
      <c r="AU19" s="189"/>
      <c r="AV19" s="201">
        <f>COUNTIF(F20:AU20,"в")</f>
        <v>0</v>
      </c>
      <c r="AW19" s="179">
        <f>F20+I20+L20+O20+R20+U20+X20+AA20+AD20+AG20+AJ20+AM20+AP20+AS20</f>
        <v>0</v>
      </c>
      <c r="AX19" s="184" t="s">
        <v>2</v>
      </c>
      <c r="AY19" s="183">
        <f>AU20+AR20+AO20+AL20+AI20+AF20+AC20+Z20+W20+T20+Q20+N20+K20+H20</f>
        <v>0</v>
      </c>
      <c r="AZ19" s="175">
        <f>IF(BL19=0,0,RANK(BL19,$BL$7:$BL$48,0))</f>
        <v>0</v>
      </c>
      <c r="BA19" s="174">
        <f>IF(BL19=0,0,VLOOKUP(AZ19,$BG$7:$BH$48,2,FALSE))</f>
        <v>0</v>
      </c>
      <c r="BB19" s="180">
        <f>A19+BA19</f>
        <v>55</v>
      </c>
      <c r="BC19" s="39" t="e">
        <f>AVERAGE(G19,J19,M19,P19,S19,V19,Y19,AB19,AE19,AH19,AK19,AN19,AQ19,AT19)</f>
        <v>#DIV/0!</v>
      </c>
      <c r="BD19" s="172">
        <f>F19+AS19+AP19+AM19+AJ19+AG19+AD19+AA19+X19+U19+R19+O19+L19+I19</f>
        <v>0</v>
      </c>
      <c r="BE19" s="262"/>
      <c r="BF19" s="22"/>
      <c r="BG19" s="236">
        <v>5</v>
      </c>
      <c r="BH19" s="236">
        <v>17</v>
      </c>
      <c r="BI19" s="88"/>
      <c r="BJ19" s="88"/>
      <c r="BK19" s="164">
        <f>IF((AV19+AW21*0.001)=0,0,AV19+AW21*0.001+1)</f>
        <v>0</v>
      </c>
      <c r="BL19" s="165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165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56"/>
      <c r="B20" s="85">
        <v>5</v>
      </c>
      <c r="C20" s="168"/>
      <c r="D20" s="168"/>
      <c r="E20" s="169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202"/>
      <c r="AW20" s="179"/>
      <c r="AX20" s="184"/>
      <c r="AY20" s="183"/>
      <c r="AZ20" s="176"/>
      <c r="BA20" s="174"/>
      <c r="BB20" s="180"/>
      <c r="BC20" s="44" t="e">
        <f>BC19*3</f>
        <v>#DIV/0!</v>
      </c>
      <c r="BD20" s="173"/>
      <c r="BE20" s="260"/>
      <c r="BF20" s="22"/>
      <c r="BG20" s="236"/>
      <c r="BH20" s="236"/>
      <c r="BI20" s="88"/>
      <c r="BJ20" s="88"/>
      <c r="BK20" s="164"/>
      <c r="BL20" s="165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65"/>
    </row>
    <row r="21" spans="1:80" ht="18" customHeight="1" thickBot="1" thickTop="1">
      <c r="A21" s="257"/>
      <c r="B21" s="86"/>
      <c r="C21" s="170"/>
      <c r="D21" s="170"/>
      <c r="E21" s="171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203"/>
      <c r="AW21" s="178">
        <f>AW19-AY19</f>
        <v>0</v>
      </c>
      <c r="AX21" s="178"/>
      <c r="AY21" s="178"/>
      <c r="AZ21" s="177"/>
      <c r="BA21" s="174"/>
      <c r="BB21" s="180"/>
      <c r="BC21" s="50" t="e">
        <f>AVERAGE(F21:AU21)</f>
        <v>#DIV/0!</v>
      </c>
      <c r="BD21" s="173"/>
      <c r="BE21" s="261"/>
      <c r="BF21" s="22"/>
      <c r="BG21" s="236"/>
      <c r="BH21" s="236"/>
      <c r="BI21" s="88"/>
      <c r="BJ21" s="88"/>
      <c r="BK21" s="164"/>
      <c r="BL21" s="165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65"/>
    </row>
    <row r="22" spans="1:80" ht="18" customHeight="1" thickBot="1" thickTop="1">
      <c r="A22" s="255">
        <f>VLOOKUP(C22,Исходник!$A$3:$Y$44,25,FALSE)</f>
        <v>42</v>
      </c>
      <c r="B22" s="84"/>
      <c r="C22" s="166" t="str">
        <f>VLOOKUP(B23,Исходник!$AF$3:$AY$44,20,FALSE)</f>
        <v>Дераков Евгений
СФДМ, Москва</v>
      </c>
      <c r="D22" s="166"/>
      <c r="E22" s="167"/>
      <c r="F22" s="38"/>
      <c r="G22" s="188"/>
      <c r="H22" s="189"/>
      <c r="I22" s="38"/>
      <c r="J22" s="188"/>
      <c r="K22" s="189"/>
      <c r="L22" s="38"/>
      <c r="M22" s="188"/>
      <c r="N22" s="189"/>
      <c r="O22" s="38"/>
      <c r="P22" s="188"/>
      <c r="Q22" s="189"/>
      <c r="R22" s="38"/>
      <c r="S22" s="188"/>
      <c r="T22" s="189"/>
      <c r="U22" s="26"/>
      <c r="V22" s="211"/>
      <c r="W22" s="212"/>
      <c r="X22" s="38"/>
      <c r="Y22" s="188"/>
      <c r="Z22" s="189"/>
      <c r="AA22" s="38"/>
      <c r="AB22" s="188"/>
      <c r="AC22" s="189"/>
      <c r="AD22" s="38"/>
      <c r="AE22" s="188"/>
      <c r="AF22" s="189"/>
      <c r="AG22" s="38"/>
      <c r="AH22" s="188"/>
      <c r="AI22" s="189"/>
      <c r="AJ22" s="38"/>
      <c r="AK22" s="188"/>
      <c r="AL22" s="189"/>
      <c r="AM22" s="38"/>
      <c r="AN22" s="188"/>
      <c r="AO22" s="189"/>
      <c r="AP22" s="38"/>
      <c r="AQ22" s="188"/>
      <c r="AR22" s="189"/>
      <c r="AS22" s="38"/>
      <c r="AT22" s="188"/>
      <c r="AU22" s="189"/>
      <c r="AV22" s="201">
        <f>COUNTIF(F23:AU23,"в")</f>
        <v>0</v>
      </c>
      <c r="AW22" s="179">
        <f>F23+I23+L23+O23+R23+U23+X23+AA23+AD23+AG23+AJ23+AM23+AP23+AS23</f>
        <v>0</v>
      </c>
      <c r="AX22" s="184" t="s">
        <v>2</v>
      </c>
      <c r="AY22" s="183">
        <f>AU23+AR23+AO23+AL23+AI23+AF23+AC23+Z23+W23+T23+Q23+N23+K23+H23</f>
        <v>0</v>
      </c>
      <c r="AZ22" s="175">
        <f>IF(BL22=0,0,RANK(BL22,$BL$7:$BL$48,0))</f>
        <v>0</v>
      </c>
      <c r="BA22" s="174">
        <f>IF(BL22=0,0,VLOOKUP(AZ22,$BG$7:$BH$48,2,FALSE))</f>
        <v>0</v>
      </c>
      <c r="BB22" s="180">
        <f>A22+BA22</f>
        <v>42</v>
      </c>
      <c r="BC22" s="39" t="e">
        <f>AVERAGE(G22,J22,M22,P22,S22,V22,Y22,AB22,AE22,AH22,AK22,AN22,AQ22,AT22)</f>
        <v>#DIV/0!</v>
      </c>
      <c r="BD22" s="172">
        <f>F22+AS22+AP22+AM22+AJ22+AG22+AD22+AA22+X22+U22+R22+O22+L22+I22</f>
        <v>0</v>
      </c>
      <c r="BE22" s="259"/>
      <c r="BF22" s="22"/>
      <c r="BG22" s="236">
        <v>6</v>
      </c>
      <c r="BH22" s="236">
        <v>15</v>
      </c>
      <c r="BI22" s="88"/>
      <c r="BJ22" s="88"/>
      <c r="BK22" s="164">
        <f>IF((AV22+AW24*0.001)=0,0,AV22+AW24*0.001+1)</f>
        <v>0</v>
      </c>
      <c r="BL22" s="165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165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56"/>
      <c r="B23" s="85">
        <v>6</v>
      </c>
      <c r="C23" s="168"/>
      <c r="D23" s="168"/>
      <c r="E23" s="169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202"/>
      <c r="AW23" s="179"/>
      <c r="AX23" s="184"/>
      <c r="AY23" s="183"/>
      <c r="AZ23" s="176"/>
      <c r="BA23" s="174"/>
      <c r="BB23" s="180"/>
      <c r="BC23" s="44" t="e">
        <f>BC22*3</f>
        <v>#DIV/0!</v>
      </c>
      <c r="BD23" s="173"/>
      <c r="BE23" s="260"/>
      <c r="BF23" s="22"/>
      <c r="BG23" s="236"/>
      <c r="BH23" s="236"/>
      <c r="BI23" s="88"/>
      <c r="BJ23" s="88"/>
      <c r="BK23" s="164"/>
      <c r="BL23" s="165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65"/>
    </row>
    <row r="24" spans="1:80" ht="18" customHeight="1" thickBot="1" thickTop="1">
      <c r="A24" s="257"/>
      <c r="B24" s="86"/>
      <c r="C24" s="170"/>
      <c r="D24" s="170"/>
      <c r="E24" s="171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203"/>
      <c r="AW24" s="178">
        <f>AW22-AY22</f>
        <v>0</v>
      </c>
      <c r="AX24" s="178"/>
      <c r="AY24" s="178"/>
      <c r="AZ24" s="177"/>
      <c r="BA24" s="174"/>
      <c r="BB24" s="180"/>
      <c r="BC24" s="50" t="e">
        <f>AVERAGE(F24:AU24)</f>
        <v>#DIV/0!</v>
      </c>
      <c r="BD24" s="173"/>
      <c r="BE24" s="261"/>
      <c r="BF24" s="22"/>
      <c r="BG24" s="236"/>
      <c r="BH24" s="236"/>
      <c r="BI24" s="88"/>
      <c r="BJ24" s="88"/>
      <c r="BK24" s="164"/>
      <c r="BL24" s="165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65"/>
    </row>
    <row r="25" spans="1:80" ht="18" customHeight="1" thickBot="1" thickTop="1">
      <c r="A25" s="255">
        <f>VLOOKUP(C25,Исходник!$A$3:$Y$44,25,FALSE)</f>
        <v>36</v>
      </c>
      <c r="B25" s="84"/>
      <c r="C25" s="166" t="str">
        <f>VLOOKUP(B26,Исходник!$AF$3:$AY$44,20,FALSE)</f>
        <v>Борисов Андрей
СФДМ, Москва</v>
      </c>
      <c r="D25" s="166"/>
      <c r="E25" s="167"/>
      <c r="F25" s="38"/>
      <c r="G25" s="188"/>
      <c r="H25" s="189"/>
      <c r="I25" s="38"/>
      <c r="J25" s="188"/>
      <c r="K25" s="189"/>
      <c r="L25" s="38"/>
      <c r="M25" s="188"/>
      <c r="N25" s="189"/>
      <c r="O25" s="38"/>
      <c r="P25" s="188"/>
      <c r="Q25" s="189"/>
      <c r="R25" s="38"/>
      <c r="S25" s="188"/>
      <c r="T25" s="189"/>
      <c r="U25" s="38"/>
      <c r="V25" s="188"/>
      <c r="W25" s="189"/>
      <c r="X25" s="26"/>
      <c r="Y25" s="211"/>
      <c r="Z25" s="212"/>
      <c r="AA25" s="38"/>
      <c r="AB25" s="188"/>
      <c r="AC25" s="189"/>
      <c r="AD25" s="38"/>
      <c r="AE25" s="188"/>
      <c r="AF25" s="189"/>
      <c r="AG25" s="38"/>
      <c r="AH25" s="188"/>
      <c r="AI25" s="189"/>
      <c r="AJ25" s="38"/>
      <c r="AK25" s="188"/>
      <c r="AL25" s="189"/>
      <c r="AM25" s="38"/>
      <c r="AN25" s="188"/>
      <c r="AO25" s="189"/>
      <c r="AP25" s="38"/>
      <c r="AQ25" s="188"/>
      <c r="AR25" s="189"/>
      <c r="AS25" s="38"/>
      <c r="AT25" s="188"/>
      <c r="AU25" s="189"/>
      <c r="AV25" s="201">
        <f>COUNTIF(F26:AU26,"в")</f>
        <v>0</v>
      </c>
      <c r="AW25" s="179">
        <f>F26+I26+L26+O26+R26+U26+X26+AA26+AD26+AG26+AJ26+AM26+AP26+AS26</f>
        <v>0</v>
      </c>
      <c r="AX25" s="184" t="s">
        <v>2</v>
      </c>
      <c r="AY25" s="183">
        <f>AU26+AR26+AO26+AL26+AI26+AF26+AC26+Z26+W26+T26+Q26+N26+K26+H26</f>
        <v>0</v>
      </c>
      <c r="AZ25" s="175">
        <f>IF(BL25=0,0,RANK(BL25,$BL$7:$BL$48,0))</f>
        <v>0</v>
      </c>
      <c r="BA25" s="174">
        <f>IF(BL25=0,0,VLOOKUP(AZ25,$BG$7:$BH$48,2,FALSE))</f>
        <v>0</v>
      </c>
      <c r="BB25" s="180">
        <f>A25+BA25</f>
        <v>36</v>
      </c>
      <c r="BC25" s="39" t="e">
        <f>AVERAGE(G25,J25,M25,P25,S25,V25,Y25,AB25,AE25,AH25,AK25,AN25,AQ25,AT25)</f>
        <v>#DIV/0!</v>
      </c>
      <c r="BD25" s="172">
        <f>F25+AS25+AP25+AM25+AJ25+AG25+AD25+AA25+X25+U25+R25+O25+L25+I25</f>
        <v>0</v>
      </c>
      <c r="BE25" s="262"/>
      <c r="BF25" s="22"/>
      <c r="BG25" s="236">
        <v>7</v>
      </c>
      <c r="BH25" s="236">
        <v>13</v>
      </c>
      <c r="BI25" s="88"/>
      <c r="BJ25" s="88"/>
      <c r="BK25" s="164">
        <f>IF((AV25+AW27*0.001)=0,0,AV25+AW27*0.001+1)</f>
        <v>0</v>
      </c>
      <c r="BL25" s="165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165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56"/>
      <c r="B26" s="85">
        <v>7</v>
      </c>
      <c r="C26" s="168"/>
      <c r="D26" s="168"/>
      <c r="E26" s="169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202"/>
      <c r="AW26" s="179"/>
      <c r="AX26" s="184"/>
      <c r="AY26" s="183"/>
      <c r="AZ26" s="176"/>
      <c r="BA26" s="174"/>
      <c r="BB26" s="180"/>
      <c r="BC26" s="44" t="e">
        <f>BC25*3</f>
        <v>#DIV/0!</v>
      </c>
      <c r="BD26" s="173"/>
      <c r="BE26" s="260"/>
      <c r="BF26" s="22"/>
      <c r="BG26" s="236"/>
      <c r="BH26" s="236"/>
      <c r="BI26" s="88"/>
      <c r="BJ26" s="88"/>
      <c r="BK26" s="164"/>
      <c r="BL26" s="165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65"/>
    </row>
    <row r="27" spans="1:80" ht="18" customHeight="1" thickBot="1" thickTop="1">
      <c r="A27" s="257"/>
      <c r="B27" s="86"/>
      <c r="C27" s="170"/>
      <c r="D27" s="170"/>
      <c r="E27" s="171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203"/>
      <c r="AW27" s="178">
        <f>AW25-AY25</f>
        <v>0</v>
      </c>
      <c r="AX27" s="178"/>
      <c r="AY27" s="178"/>
      <c r="AZ27" s="177"/>
      <c r="BA27" s="174"/>
      <c r="BB27" s="180"/>
      <c r="BC27" s="50" t="e">
        <f>AVERAGE(F27:AU27)</f>
        <v>#DIV/0!</v>
      </c>
      <c r="BD27" s="173"/>
      <c r="BE27" s="261"/>
      <c r="BF27" s="22"/>
      <c r="BG27" s="236"/>
      <c r="BH27" s="236"/>
      <c r="BI27" s="88"/>
      <c r="BJ27" s="88"/>
      <c r="BK27" s="164"/>
      <c r="BL27" s="165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65"/>
    </row>
    <row r="28" spans="1:80" ht="18" customHeight="1" thickBot="1" thickTop="1">
      <c r="A28" s="255">
        <f>VLOOKUP(C28,Исходник!$A$3:$Y$44,25,FALSE)</f>
        <v>29</v>
      </c>
      <c r="B28" s="84"/>
      <c r="C28" s="166" t="str">
        <f>VLOOKUP(B29,Исходник!$AF$3:$AY$44,20,FALSE)</f>
        <v>Колпаков Олег
СФДМ, Москва</v>
      </c>
      <c r="D28" s="166"/>
      <c r="E28" s="167"/>
      <c r="F28" s="51"/>
      <c r="G28" s="188"/>
      <c r="H28" s="189"/>
      <c r="I28" s="38"/>
      <c r="J28" s="188"/>
      <c r="K28" s="189"/>
      <c r="L28" s="38"/>
      <c r="M28" s="188"/>
      <c r="N28" s="189"/>
      <c r="O28" s="38"/>
      <c r="P28" s="188"/>
      <c r="Q28" s="189"/>
      <c r="R28" s="51"/>
      <c r="S28" s="188"/>
      <c r="T28" s="189"/>
      <c r="U28" s="38"/>
      <c r="V28" s="188"/>
      <c r="W28" s="189"/>
      <c r="X28" s="38"/>
      <c r="Y28" s="188"/>
      <c r="Z28" s="189"/>
      <c r="AA28" s="26"/>
      <c r="AB28" s="211"/>
      <c r="AC28" s="212"/>
      <c r="AD28" s="38"/>
      <c r="AE28" s="188"/>
      <c r="AF28" s="189"/>
      <c r="AG28" s="38"/>
      <c r="AH28" s="188"/>
      <c r="AI28" s="189"/>
      <c r="AJ28" s="38"/>
      <c r="AK28" s="188"/>
      <c r="AL28" s="189"/>
      <c r="AM28" s="38"/>
      <c r="AN28" s="188"/>
      <c r="AO28" s="189"/>
      <c r="AP28" s="38"/>
      <c r="AQ28" s="188"/>
      <c r="AR28" s="189"/>
      <c r="AS28" s="38"/>
      <c r="AT28" s="188"/>
      <c r="AU28" s="189"/>
      <c r="AV28" s="201">
        <f>COUNTIF(F29:AU29,"в")</f>
        <v>0</v>
      </c>
      <c r="AW28" s="179">
        <f>F29+I29+L29+O29+R29+U29+X29+AA29+AD29+AG29+AJ29+AM29+AP29+AS29</f>
        <v>0</v>
      </c>
      <c r="AX28" s="184" t="s">
        <v>2</v>
      </c>
      <c r="AY28" s="183">
        <f>AU29+AR29+AO29+AL29+AI29+AF29+AC29+Z29+W29+T29+Q29+N29+K29+H29</f>
        <v>0</v>
      </c>
      <c r="AZ28" s="175">
        <f>IF(BL28=0,0,RANK(BL28,$BL$7:$BL$48,0))</f>
        <v>0</v>
      </c>
      <c r="BA28" s="174">
        <f>IF(BL28=0,0,VLOOKUP(AZ28,$BG$7:$BH$48,2,FALSE))</f>
        <v>0</v>
      </c>
      <c r="BB28" s="180">
        <f>A28+BA28</f>
        <v>29</v>
      </c>
      <c r="BC28" s="39" t="e">
        <f>AVERAGE(G28,J28,M28,P28,S28,V28,Y28,AB28,AE28,AH28,AK28,AN28,AQ28,AT28)</f>
        <v>#DIV/0!</v>
      </c>
      <c r="BD28" s="172">
        <f>F28+AS28+AP28+AM28+AJ28+AG28+AD28+AA28+X28+U28+R28+O28+L28+I28</f>
        <v>0</v>
      </c>
      <c r="BE28" s="262"/>
      <c r="BF28" s="22"/>
      <c r="BG28" s="236">
        <v>8</v>
      </c>
      <c r="BH28" s="236">
        <v>12</v>
      </c>
      <c r="BI28" s="88"/>
      <c r="BJ28" s="88"/>
      <c r="BK28" s="164">
        <f>IF((AV28+AW30*0.001)=0,0,AV28+AW30*0.001+1)</f>
        <v>0</v>
      </c>
      <c r="BL28" s="165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165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56"/>
      <c r="B29" s="85">
        <v>8</v>
      </c>
      <c r="C29" s="168"/>
      <c r="D29" s="168"/>
      <c r="E29" s="169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202"/>
      <c r="AW29" s="179"/>
      <c r="AX29" s="184"/>
      <c r="AY29" s="183"/>
      <c r="AZ29" s="176"/>
      <c r="BA29" s="174"/>
      <c r="BB29" s="180"/>
      <c r="BC29" s="44" t="e">
        <f>BC28*3</f>
        <v>#DIV/0!</v>
      </c>
      <c r="BD29" s="173"/>
      <c r="BE29" s="260"/>
      <c r="BF29" s="22"/>
      <c r="BG29" s="236"/>
      <c r="BH29" s="236"/>
      <c r="BI29" s="88"/>
      <c r="BJ29" s="88"/>
      <c r="BK29" s="164"/>
      <c r="BL29" s="165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65"/>
    </row>
    <row r="30" spans="1:80" ht="18" customHeight="1" thickBot="1" thickTop="1">
      <c r="A30" s="257"/>
      <c r="B30" s="86"/>
      <c r="C30" s="170"/>
      <c r="D30" s="170"/>
      <c r="E30" s="171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203"/>
      <c r="AW30" s="178">
        <f>AW28-AY28</f>
        <v>0</v>
      </c>
      <c r="AX30" s="178"/>
      <c r="AY30" s="178"/>
      <c r="AZ30" s="177"/>
      <c r="BA30" s="174"/>
      <c r="BB30" s="180"/>
      <c r="BC30" s="50" t="e">
        <f>AVERAGE(F30:AU30)</f>
        <v>#DIV/0!</v>
      </c>
      <c r="BD30" s="173"/>
      <c r="BE30" s="261"/>
      <c r="BF30" s="22"/>
      <c r="BG30" s="236"/>
      <c r="BH30" s="236"/>
      <c r="BI30" s="88"/>
      <c r="BJ30" s="88"/>
      <c r="BK30" s="164"/>
      <c r="BL30" s="165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65"/>
    </row>
    <row r="31" spans="1:80" ht="18" customHeight="1" thickBot="1" thickTop="1">
      <c r="A31" s="255">
        <f>VLOOKUP(C31,Исходник!$A$3:$Y$44,25,FALSE)</f>
        <v>28</v>
      </c>
      <c r="B31" s="84"/>
      <c r="C31" s="166" t="str">
        <f>VLOOKUP(B32,Исходник!$AF$3:$AY$44,20,FALSE)</f>
        <v>Иванов Евгений
СФДМ, Красногорск</v>
      </c>
      <c r="D31" s="166"/>
      <c r="E31" s="167"/>
      <c r="F31" s="38"/>
      <c r="G31" s="188"/>
      <c r="H31" s="189"/>
      <c r="I31" s="38"/>
      <c r="J31" s="188"/>
      <c r="K31" s="189"/>
      <c r="L31" s="38"/>
      <c r="M31" s="188"/>
      <c r="N31" s="189"/>
      <c r="O31" s="38"/>
      <c r="P31" s="188"/>
      <c r="Q31" s="189"/>
      <c r="R31" s="38"/>
      <c r="S31" s="188"/>
      <c r="T31" s="189"/>
      <c r="U31" s="38"/>
      <c r="V31" s="188"/>
      <c r="W31" s="189"/>
      <c r="X31" s="38"/>
      <c r="Y31" s="188"/>
      <c r="Z31" s="189"/>
      <c r="AA31" s="38"/>
      <c r="AB31" s="188"/>
      <c r="AC31" s="189"/>
      <c r="AD31" s="26"/>
      <c r="AE31" s="211"/>
      <c r="AF31" s="212"/>
      <c r="AG31" s="38"/>
      <c r="AH31" s="188"/>
      <c r="AI31" s="189"/>
      <c r="AJ31" s="38"/>
      <c r="AK31" s="188"/>
      <c r="AL31" s="189"/>
      <c r="AM31" s="38"/>
      <c r="AN31" s="188"/>
      <c r="AO31" s="189"/>
      <c r="AP31" s="38"/>
      <c r="AQ31" s="188"/>
      <c r="AR31" s="189"/>
      <c r="AS31" s="38"/>
      <c r="AT31" s="188"/>
      <c r="AU31" s="189"/>
      <c r="AV31" s="201">
        <f>COUNTIF(F32:AU32,"в")</f>
        <v>0</v>
      </c>
      <c r="AW31" s="179">
        <f>F32+I32+L32+O32+R32+U32+X32+AA32+AD32+AG32+AJ32+AM32+AP32+AS32</f>
        <v>0</v>
      </c>
      <c r="AX31" s="184" t="s">
        <v>2</v>
      </c>
      <c r="AY31" s="183">
        <f>AU32+AR32+AO32+AL32+AI32+AF32+AC32+Z32+W32+T32+Q32+N32+K32+H32</f>
        <v>0</v>
      </c>
      <c r="AZ31" s="175">
        <f>IF(BL31=0,0,RANK(BL31,$BL$7:$BL$48,0))</f>
        <v>0</v>
      </c>
      <c r="BA31" s="174">
        <f>IF(BL31=0,0,VLOOKUP(AZ31,$BG$7:$BH$48,2,FALSE))</f>
        <v>0</v>
      </c>
      <c r="BB31" s="180">
        <f>A31+BA31</f>
        <v>28</v>
      </c>
      <c r="BC31" s="39" t="e">
        <f>AVERAGE(G31,J31,M31,P31,S31,V31,Y31,AB31,AE31,AH31,AK31,AN31,AQ31,AT31)</f>
        <v>#DIV/0!</v>
      </c>
      <c r="BD31" s="172">
        <f>F31+AS31+AP31+AM31+AJ31+AG31+AD31+AA31+X31+U31+R31+O31+L31+I31</f>
        <v>0</v>
      </c>
      <c r="BE31" s="262"/>
      <c r="BF31" s="22"/>
      <c r="BG31" s="236">
        <v>9</v>
      </c>
      <c r="BH31" s="236">
        <v>9</v>
      </c>
      <c r="BI31" s="88"/>
      <c r="BJ31" s="88"/>
      <c r="BK31" s="164">
        <f>IF((AV31+AW33*0.001)=0,0,AV31+AW33*0.001+1)</f>
        <v>0</v>
      </c>
      <c r="BL31" s="165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165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56"/>
      <c r="B32" s="85">
        <v>9</v>
      </c>
      <c r="C32" s="168"/>
      <c r="D32" s="168"/>
      <c r="E32" s="169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202"/>
      <c r="AW32" s="179"/>
      <c r="AX32" s="184"/>
      <c r="AY32" s="183"/>
      <c r="AZ32" s="176"/>
      <c r="BA32" s="174"/>
      <c r="BB32" s="180"/>
      <c r="BC32" s="44" t="e">
        <f>BC31*3</f>
        <v>#DIV/0!</v>
      </c>
      <c r="BD32" s="173"/>
      <c r="BE32" s="260"/>
      <c r="BF32" s="22"/>
      <c r="BG32" s="236"/>
      <c r="BH32" s="236"/>
      <c r="BI32" s="88"/>
      <c r="BJ32" s="88"/>
      <c r="BK32" s="164"/>
      <c r="BL32" s="165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65"/>
    </row>
    <row r="33" spans="1:80" ht="18" customHeight="1" thickBot="1" thickTop="1">
      <c r="A33" s="257"/>
      <c r="B33" s="86"/>
      <c r="C33" s="170"/>
      <c r="D33" s="170"/>
      <c r="E33" s="171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203"/>
      <c r="AW33" s="178">
        <f>AW31-AY31</f>
        <v>0</v>
      </c>
      <c r="AX33" s="178"/>
      <c r="AY33" s="178"/>
      <c r="AZ33" s="177"/>
      <c r="BA33" s="174"/>
      <c r="BB33" s="180"/>
      <c r="BC33" s="50" t="e">
        <f>AVERAGE(F33:AU33)</f>
        <v>#DIV/0!</v>
      </c>
      <c r="BD33" s="173"/>
      <c r="BE33" s="261"/>
      <c r="BF33" s="22"/>
      <c r="BG33" s="236"/>
      <c r="BH33" s="236"/>
      <c r="BI33" s="88"/>
      <c r="BJ33" s="88"/>
      <c r="BK33" s="164"/>
      <c r="BL33" s="165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65"/>
    </row>
    <row r="34" spans="1:80" ht="18" customHeight="1" thickBot="1" thickTop="1">
      <c r="A34" s="255">
        <f>VLOOKUP(C34,Исходник!$A$3:$Y$44,25,FALSE)</f>
        <v>23</v>
      </c>
      <c r="B34" s="84"/>
      <c r="C34" s="166" t="str">
        <f>VLOOKUP(B35,Исходник!$AF$3:$AY$44,20,FALSE)</f>
        <v>Конюхов Александр
СФДМ, Москва</v>
      </c>
      <c r="D34" s="166"/>
      <c r="E34" s="167"/>
      <c r="F34" s="51"/>
      <c r="G34" s="188"/>
      <c r="H34" s="189"/>
      <c r="I34" s="51"/>
      <c r="J34" s="188"/>
      <c r="K34" s="189"/>
      <c r="L34" s="51"/>
      <c r="M34" s="188"/>
      <c r="N34" s="189"/>
      <c r="O34" s="38"/>
      <c r="P34" s="188"/>
      <c r="Q34" s="189"/>
      <c r="R34" s="38"/>
      <c r="S34" s="188"/>
      <c r="T34" s="189"/>
      <c r="U34" s="51"/>
      <c r="V34" s="188"/>
      <c r="W34" s="189"/>
      <c r="X34" s="38"/>
      <c r="Y34" s="188"/>
      <c r="Z34" s="189"/>
      <c r="AA34" s="51"/>
      <c r="AB34" s="188"/>
      <c r="AC34" s="189"/>
      <c r="AD34" s="51"/>
      <c r="AE34" s="188"/>
      <c r="AF34" s="189"/>
      <c r="AG34" s="26"/>
      <c r="AH34" s="211"/>
      <c r="AI34" s="212"/>
      <c r="AJ34" s="38"/>
      <c r="AK34" s="188"/>
      <c r="AL34" s="189"/>
      <c r="AM34" s="38"/>
      <c r="AN34" s="188"/>
      <c r="AO34" s="189"/>
      <c r="AP34" s="38"/>
      <c r="AQ34" s="188"/>
      <c r="AR34" s="189"/>
      <c r="AS34" s="38"/>
      <c r="AT34" s="188"/>
      <c r="AU34" s="189"/>
      <c r="AV34" s="201">
        <f>COUNTIF(F35:AU35,"в")</f>
        <v>0</v>
      </c>
      <c r="AW34" s="179">
        <f>F35+I35+L35+O35+R35+U35+X35+AA35+AD35+AG35+AJ35+AM35+AP35+AS35</f>
        <v>0</v>
      </c>
      <c r="AX34" s="184" t="s">
        <v>2</v>
      </c>
      <c r="AY34" s="183">
        <f>AU35+AR35+AO35+AL35+AI35+AF35+AC35+Z35+W35+T35+Q35+N35+K35+H35</f>
        <v>0</v>
      </c>
      <c r="AZ34" s="175">
        <f>IF(BL34=0,0,RANK(BL34,$BL$7:$BL$48,0))</f>
        <v>0</v>
      </c>
      <c r="BA34" s="174">
        <f>IF(BL34=0,0,VLOOKUP(AZ34,$BG$7:$BH$48,2,FALSE))</f>
        <v>0</v>
      </c>
      <c r="BB34" s="180">
        <f>A34+BA34</f>
        <v>23</v>
      </c>
      <c r="BC34" s="39" t="e">
        <f>AVERAGE(G34,J34,M34,P34,S34,V34,Y34,AB34,AE34,AH34,AK34,AN34,AQ34,AT34)</f>
        <v>#DIV/0!</v>
      </c>
      <c r="BD34" s="172">
        <f>F34+AS34+AP34+AM34+AJ34+AG34+AD34+AA34+X34+U34+R34+O34+L34+I34</f>
        <v>0</v>
      </c>
      <c r="BE34" s="259"/>
      <c r="BF34" s="22"/>
      <c r="BG34" s="236">
        <v>10</v>
      </c>
      <c r="BH34" s="236">
        <v>8</v>
      </c>
      <c r="BI34" s="88"/>
      <c r="BJ34" s="88"/>
      <c r="BK34" s="164">
        <f>IF((AV34+AW36*0.001)=0,0,AV34+AW36*0.001+1)</f>
        <v>0</v>
      </c>
      <c r="BL34" s="165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165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56"/>
      <c r="B35" s="85">
        <v>10</v>
      </c>
      <c r="C35" s="168"/>
      <c r="D35" s="168"/>
      <c r="E35" s="169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202"/>
      <c r="AW35" s="179"/>
      <c r="AX35" s="184"/>
      <c r="AY35" s="183"/>
      <c r="AZ35" s="176"/>
      <c r="BA35" s="174"/>
      <c r="BB35" s="180"/>
      <c r="BC35" s="44" t="e">
        <f>BC34*3</f>
        <v>#DIV/0!</v>
      </c>
      <c r="BD35" s="173"/>
      <c r="BE35" s="260"/>
      <c r="BF35" s="22"/>
      <c r="BG35" s="236"/>
      <c r="BH35" s="236"/>
      <c r="BI35" s="88"/>
      <c r="BJ35" s="88"/>
      <c r="BK35" s="164"/>
      <c r="BL35" s="165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65"/>
    </row>
    <row r="36" spans="1:80" ht="18" customHeight="1" thickBot="1" thickTop="1">
      <c r="A36" s="257"/>
      <c r="B36" s="86"/>
      <c r="C36" s="170"/>
      <c r="D36" s="170"/>
      <c r="E36" s="171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203"/>
      <c r="AW36" s="178">
        <f>AW34-AY34</f>
        <v>0</v>
      </c>
      <c r="AX36" s="178"/>
      <c r="AY36" s="178"/>
      <c r="AZ36" s="177"/>
      <c r="BA36" s="174"/>
      <c r="BB36" s="180"/>
      <c r="BC36" s="50" t="e">
        <f>AVERAGE(F36:AU36)</f>
        <v>#DIV/0!</v>
      </c>
      <c r="BD36" s="173"/>
      <c r="BE36" s="261"/>
      <c r="BF36" s="22"/>
      <c r="BG36" s="236"/>
      <c r="BH36" s="236"/>
      <c r="BI36" s="88"/>
      <c r="BJ36" s="88"/>
      <c r="BK36" s="164"/>
      <c r="BL36" s="165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65"/>
    </row>
    <row r="37" spans="1:80" ht="18" customHeight="1" thickBot="1" thickTop="1">
      <c r="A37" s="255">
        <f>VLOOKUP(C37,Исходник!$A$3:$Y$44,25,FALSE)</f>
        <v>20</v>
      </c>
      <c r="B37" s="84"/>
      <c r="C37" s="166" t="str">
        <f>VLOOKUP(B38,Исходник!$AF$3:$AY$44,20,FALSE)</f>
        <v>Клочек Ксения
СФДМ, Москва</v>
      </c>
      <c r="D37" s="166"/>
      <c r="E37" s="167"/>
      <c r="F37" s="38"/>
      <c r="G37" s="188"/>
      <c r="H37" s="189"/>
      <c r="I37" s="38"/>
      <c r="J37" s="188"/>
      <c r="K37" s="189"/>
      <c r="L37" s="38"/>
      <c r="M37" s="188"/>
      <c r="N37" s="189"/>
      <c r="O37" s="38"/>
      <c r="P37" s="188"/>
      <c r="Q37" s="189"/>
      <c r="R37" s="38"/>
      <c r="S37" s="188"/>
      <c r="T37" s="189"/>
      <c r="U37" s="51"/>
      <c r="V37" s="188"/>
      <c r="W37" s="189"/>
      <c r="X37" s="51"/>
      <c r="Y37" s="188"/>
      <c r="Z37" s="189"/>
      <c r="AA37" s="38"/>
      <c r="AB37" s="188"/>
      <c r="AC37" s="189"/>
      <c r="AD37" s="51"/>
      <c r="AE37" s="188"/>
      <c r="AF37" s="189"/>
      <c r="AG37" s="38"/>
      <c r="AH37" s="188"/>
      <c r="AI37" s="189"/>
      <c r="AJ37" s="26"/>
      <c r="AK37" s="211"/>
      <c r="AL37" s="212"/>
      <c r="AM37" s="38"/>
      <c r="AN37" s="188"/>
      <c r="AO37" s="189"/>
      <c r="AP37" s="38"/>
      <c r="AQ37" s="188"/>
      <c r="AR37" s="189"/>
      <c r="AS37" s="38"/>
      <c r="AT37" s="188"/>
      <c r="AU37" s="189"/>
      <c r="AV37" s="201">
        <f>COUNTIF(F38:AU38,"в")</f>
        <v>0</v>
      </c>
      <c r="AW37" s="179">
        <f>F38+I38+L38+O38+R38+U38+X38+AA38+AD38+AG38+AJ38+AM38+AP38+AS38</f>
        <v>0</v>
      </c>
      <c r="AX37" s="184" t="s">
        <v>2</v>
      </c>
      <c r="AY37" s="183">
        <f>AU38+AR38+AO38+AL38+AI38+AF38+AC38+Z38+W38+T38+Q38+N38+K38+H38</f>
        <v>0</v>
      </c>
      <c r="AZ37" s="175">
        <f>IF(BL37=0,0,RANK(BL37,$BL$7:$BL$48,0))</f>
        <v>0</v>
      </c>
      <c r="BA37" s="174">
        <f>IF(BL37=0,0,VLOOKUP(AZ37,$BG$7:$BH$48,2,FALSE))</f>
        <v>0</v>
      </c>
      <c r="BB37" s="180">
        <f>A37+BA37</f>
        <v>20</v>
      </c>
      <c r="BC37" s="39" t="e">
        <f>AVERAGE(G37,J37,M37,P37,S37,V37,Y37,AB37,AE37,AH37,AK37,AN37,AQ37,AT37)</f>
        <v>#DIV/0!</v>
      </c>
      <c r="BD37" s="172">
        <f>F37+AS37+AP37+AM37+AJ37+AG37+AD37+AA37+X37+U37+R37+O37+L37+I37</f>
        <v>0</v>
      </c>
      <c r="BE37" s="262"/>
      <c r="BF37" s="22"/>
      <c r="BG37" s="236">
        <v>11</v>
      </c>
      <c r="BH37" s="236">
        <v>7</v>
      </c>
      <c r="BI37" s="88"/>
      <c r="BJ37" s="88"/>
      <c r="BK37" s="164">
        <f>IF((AV37+AW39*0.001)=0,0,AV37+AW39*0.001+1)</f>
        <v>0</v>
      </c>
      <c r="BL37" s="165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65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56"/>
      <c r="B38" s="85">
        <v>11</v>
      </c>
      <c r="C38" s="168"/>
      <c r="D38" s="168"/>
      <c r="E38" s="169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202"/>
      <c r="AW38" s="179"/>
      <c r="AX38" s="184"/>
      <c r="AY38" s="183"/>
      <c r="AZ38" s="176"/>
      <c r="BA38" s="174"/>
      <c r="BB38" s="180"/>
      <c r="BC38" s="44" t="e">
        <f>BC37*3</f>
        <v>#DIV/0!</v>
      </c>
      <c r="BD38" s="173"/>
      <c r="BE38" s="260"/>
      <c r="BF38" s="22"/>
      <c r="BG38" s="236"/>
      <c r="BH38" s="236"/>
      <c r="BI38" s="88"/>
      <c r="BJ38" s="88"/>
      <c r="BK38" s="164"/>
      <c r="BL38" s="165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65"/>
    </row>
    <row r="39" spans="1:80" ht="18" customHeight="1" thickBot="1" thickTop="1">
      <c r="A39" s="257"/>
      <c r="B39" s="86"/>
      <c r="C39" s="170"/>
      <c r="D39" s="170"/>
      <c r="E39" s="171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203"/>
      <c r="AW39" s="178">
        <f>AW37-AY37</f>
        <v>0</v>
      </c>
      <c r="AX39" s="178"/>
      <c r="AY39" s="178"/>
      <c r="AZ39" s="177"/>
      <c r="BA39" s="174"/>
      <c r="BB39" s="180"/>
      <c r="BC39" s="50" t="e">
        <f>AVERAGE(F39:AU39)</f>
        <v>#DIV/0!</v>
      </c>
      <c r="BD39" s="173"/>
      <c r="BE39" s="261"/>
      <c r="BF39" s="22"/>
      <c r="BG39" s="236"/>
      <c r="BH39" s="236"/>
      <c r="BI39" s="88"/>
      <c r="BJ39" s="88"/>
      <c r="BK39" s="164"/>
      <c r="BL39" s="165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65"/>
    </row>
    <row r="40" spans="1:80" ht="18" customHeight="1" thickBot="1" thickTop="1">
      <c r="A40" s="255">
        <f>VLOOKUP(C40,Исходник!$A$3:$Y$44,25,FALSE)</f>
        <v>19</v>
      </c>
      <c r="B40" s="84"/>
      <c r="C40" s="166" t="str">
        <f>VLOOKUP(B41,Исходник!$AF$3:$AY$44,20,FALSE)</f>
        <v>Ломов Аликус                      СФДМ, Москва</v>
      </c>
      <c r="D40" s="166"/>
      <c r="E40" s="167"/>
      <c r="F40" s="38"/>
      <c r="G40" s="188"/>
      <c r="H40" s="189"/>
      <c r="I40" s="38"/>
      <c r="J40" s="188"/>
      <c r="K40" s="189"/>
      <c r="L40" s="38"/>
      <c r="M40" s="188"/>
      <c r="N40" s="189"/>
      <c r="O40" s="38"/>
      <c r="P40" s="188"/>
      <c r="Q40" s="189"/>
      <c r="R40" s="51"/>
      <c r="S40" s="188"/>
      <c r="T40" s="189"/>
      <c r="U40" s="38"/>
      <c r="V40" s="188"/>
      <c r="W40" s="189"/>
      <c r="X40" s="38"/>
      <c r="Y40" s="188"/>
      <c r="Z40" s="189"/>
      <c r="AA40" s="38"/>
      <c r="AB40" s="188"/>
      <c r="AC40" s="189"/>
      <c r="AD40" s="38"/>
      <c r="AE40" s="188"/>
      <c r="AF40" s="189"/>
      <c r="AG40" s="38"/>
      <c r="AH40" s="188"/>
      <c r="AI40" s="189"/>
      <c r="AJ40" s="38"/>
      <c r="AK40" s="188"/>
      <c r="AL40" s="189"/>
      <c r="AM40" s="26"/>
      <c r="AN40" s="211"/>
      <c r="AO40" s="212"/>
      <c r="AP40" s="38"/>
      <c r="AQ40" s="188"/>
      <c r="AR40" s="189"/>
      <c r="AS40" s="38"/>
      <c r="AT40" s="188"/>
      <c r="AU40" s="189"/>
      <c r="AV40" s="201">
        <f>COUNTIF(F41:AU41,"в")</f>
        <v>0</v>
      </c>
      <c r="AW40" s="179">
        <f>F41+I41+L41+O41+R41+U41+X41+AA41+AD41+AG41+AJ41+AM41+AP41+AS41</f>
        <v>0</v>
      </c>
      <c r="AX40" s="184" t="s">
        <v>2</v>
      </c>
      <c r="AY40" s="183">
        <f>AU41+AR41+AO41+AL41+AI41+AF41+AC41+Z41+W41+T41+Q41+N41+K41+H41</f>
        <v>0</v>
      </c>
      <c r="AZ40" s="175">
        <f>IF(BL40=0,0,RANK(BL40,$BL$7:$BL$48,0))</f>
        <v>0</v>
      </c>
      <c r="BA40" s="174">
        <f>IF(BL40=0,0,VLOOKUP(AZ40,$BG$7:$BH$48,2,FALSE))</f>
        <v>0</v>
      </c>
      <c r="BB40" s="180">
        <f>A40+BA40</f>
        <v>19</v>
      </c>
      <c r="BC40" s="39" t="e">
        <f>AVERAGE(G40,J40,M40,P40,S40,V40,Y40,AB40,AE40,AH40,AK40,AN40,AQ40,AT40)</f>
        <v>#DIV/0!</v>
      </c>
      <c r="BD40" s="172">
        <f>F40+AS40+AP40+AM40+AJ40+AG40+AD40+AA40+X40+U40+R40+O40+L40+I40</f>
        <v>0</v>
      </c>
      <c r="BE40" s="259"/>
      <c r="BF40" s="22"/>
      <c r="BG40" s="236">
        <v>12</v>
      </c>
      <c r="BH40" s="236">
        <v>6</v>
      </c>
      <c r="BI40" s="88"/>
      <c r="BJ40" s="88"/>
      <c r="BK40" s="164">
        <f>IF((AV40+AW42*0.001)=0,0,AV40+AW42*0.001+1)</f>
        <v>0</v>
      </c>
      <c r="BL40" s="165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65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56"/>
      <c r="B41" s="85">
        <v>12</v>
      </c>
      <c r="C41" s="168"/>
      <c r="D41" s="168"/>
      <c r="E41" s="169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202"/>
      <c r="AW41" s="179"/>
      <c r="AX41" s="184"/>
      <c r="AY41" s="183"/>
      <c r="AZ41" s="176"/>
      <c r="BA41" s="174"/>
      <c r="BB41" s="180"/>
      <c r="BC41" s="44" t="e">
        <f>BC40*3</f>
        <v>#DIV/0!</v>
      </c>
      <c r="BD41" s="173"/>
      <c r="BE41" s="260"/>
      <c r="BF41" s="22"/>
      <c r="BG41" s="236"/>
      <c r="BH41" s="236"/>
      <c r="BI41" s="88"/>
      <c r="BJ41" s="88"/>
      <c r="BK41" s="164"/>
      <c r="BL41" s="165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65"/>
    </row>
    <row r="42" spans="1:80" ht="18" customHeight="1" thickBot="1" thickTop="1">
      <c r="A42" s="257"/>
      <c r="B42" s="86"/>
      <c r="C42" s="170"/>
      <c r="D42" s="170"/>
      <c r="E42" s="171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203"/>
      <c r="AW42" s="178">
        <f>AW40-AY40</f>
        <v>0</v>
      </c>
      <c r="AX42" s="178"/>
      <c r="AY42" s="178"/>
      <c r="AZ42" s="177"/>
      <c r="BA42" s="174"/>
      <c r="BB42" s="180"/>
      <c r="BC42" s="50" t="e">
        <f>AVERAGE(F42:AU42)</f>
        <v>#DIV/0!</v>
      </c>
      <c r="BD42" s="173"/>
      <c r="BE42" s="261"/>
      <c r="BF42" s="22"/>
      <c r="BG42" s="236"/>
      <c r="BH42" s="236"/>
      <c r="BI42" s="88"/>
      <c r="BJ42" s="88"/>
      <c r="BK42" s="164"/>
      <c r="BL42" s="165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65"/>
    </row>
    <row r="43" spans="1:80" ht="18" customHeight="1" thickBot="1" thickTop="1">
      <c r="A43" s="255">
        <f>VLOOKUP(C43,Исходник!$A$3:$Y$44,25,FALSE)</f>
        <v>19</v>
      </c>
      <c r="B43" s="84"/>
      <c r="C43" s="166" t="str">
        <f>VLOOKUP(B44,Исходник!$AF$3:$AY$44,20,FALSE)</f>
        <v>Сердюк Владимир
СФДМ, Москва</v>
      </c>
      <c r="D43" s="166"/>
      <c r="E43" s="167"/>
      <c r="F43" s="38"/>
      <c r="G43" s="188"/>
      <c r="H43" s="189"/>
      <c r="I43" s="38"/>
      <c r="J43" s="188"/>
      <c r="K43" s="189"/>
      <c r="L43" s="51"/>
      <c r="M43" s="188"/>
      <c r="N43" s="189"/>
      <c r="O43" s="38"/>
      <c r="P43" s="188"/>
      <c r="Q43" s="189"/>
      <c r="R43" s="38"/>
      <c r="S43" s="188"/>
      <c r="T43" s="189"/>
      <c r="U43" s="38"/>
      <c r="V43" s="188"/>
      <c r="W43" s="189"/>
      <c r="X43" s="38"/>
      <c r="Y43" s="188"/>
      <c r="Z43" s="189"/>
      <c r="AA43" s="38"/>
      <c r="AB43" s="188"/>
      <c r="AC43" s="189"/>
      <c r="AD43" s="38"/>
      <c r="AE43" s="188"/>
      <c r="AF43" s="189"/>
      <c r="AG43" s="38"/>
      <c r="AH43" s="188"/>
      <c r="AI43" s="189"/>
      <c r="AJ43" s="38"/>
      <c r="AK43" s="188"/>
      <c r="AL43" s="189"/>
      <c r="AM43" s="38"/>
      <c r="AN43" s="188"/>
      <c r="AO43" s="189"/>
      <c r="AP43" s="26"/>
      <c r="AQ43" s="211"/>
      <c r="AR43" s="212"/>
      <c r="AS43" s="38"/>
      <c r="AT43" s="188"/>
      <c r="AU43" s="189"/>
      <c r="AV43" s="201">
        <f>COUNTIF(F44:AU44,"в")</f>
        <v>0</v>
      </c>
      <c r="AW43" s="179">
        <f>F44+I44+L44+O44+R44+U44+X44+AA44+AD44+AG44+AJ44+AM44+AP44+AS44</f>
        <v>0</v>
      </c>
      <c r="AX43" s="184" t="s">
        <v>2</v>
      </c>
      <c r="AY43" s="183">
        <f>AU44+AR44+AO44+AL44+AI44+AF44+AC44+Z44+W44+T44+Q44+N44+K44+H44</f>
        <v>0</v>
      </c>
      <c r="AZ43" s="175">
        <f>IF(BL43=0,0,RANK(BL43,$BL$7:$BL$48,0))</f>
        <v>0</v>
      </c>
      <c r="BA43" s="174">
        <f>IF(BL43=0,0,VLOOKUP(AZ43,$BG$7:$BH$48,2,FALSE))</f>
        <v>0</v>
      </c>
      <c r="BB43" s="180">
        <f>A43+BA43</f>
        <v>19</v>
      </c>
      <c r="BC43" s="39" t="e">
        <f>AVERAGE(G43,J43,M43,P43,S43,V43,Y43,AB43,AE43,AH43,AK43,AN43,AQ43,AT43)</f>
        <v>#DIV/0!</v>
      </c>
      <c r="BD43" s="172">
        <f>F43+AS43+AP43+AM43+AJ43+AG43+AD43+AA43+X43+U43+R43+O43+L43+I43</f>
        <v>0</v>
      </c>
      <c r="BE43" s="259"/>
      <c r="BF43" s="22"/>
      <c r="BG43" s="236">
        <v>13</v>
      </c>
      <c r="BH43" s="236">
        <v>5</v>
      </c>
      <c r="BI43" s="88"/>
      <c r="BJ43" s="88"/>
      <c r="BK43" s="164">
        <f>IF((AV43+AW45*0.001)=0,0,AV43+AW45*0.001+1)</f>
        <v>0</v>
      </c>
      <c r="BL43" s="165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65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56"/>
      <c r="B44" s="85">
        <v>13</v>
      </c>
      <c r="C44" s="168"/>
      <c r="D44" s="168"/>
      <c r="E44" s="169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202"/>
      <c r="AW44" s="179"/>
      <c r="AX44" s="184"/>
      <c r="AY44" s="183"/>
      <c r="AZ44" s="176"/>
      <c r="BA44" s="174"/>
      <c r="BB44" s="180"/>
      <c r="BC44" s="44" t="e">
        <f>BC43*3</f>
        <v>#DIV/0!</v>
      </c>
      <c r="BD44" s="173"/>
      <c r="BE44" s="260"/>
      <c r="BF44" s="22"/>
      <c r="BG44" s="236"/>
      <c r="BH44" s="236"/>
      <c r="BI44" s="88"/>
      <c r="BJ44" s="88"/>
      <c r="BK44" s="164"/>
      <c r="BL44" s="165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65"/>
    </row>
    <row r="45" spans="1:80" ht="18" customHeight="1" thickBot="1" thickTop="1">
      <c r="A45" s="257"/>
      <c r="B45" s="86"/>
      <c r="C45" s="170"/>
      <c r="D45" s="170"/>
      <c r="E45" s="171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203"/>
      <c r="AW45" s="178">
        <f>AW43-AY43</f>
        <v>0</v>
      </c>
      <c r="AX45" s="178"/>
      <c r="AY45" s="178"/>
      <c r="AZ45" s="177"/>
      <c r="BA45" s="174"/>
      <c r="BB45" s="180"/>
      <c r="BC45" s="50" t="e">
        <f>AVERAGE(F45:AU45)</f>
        <v>#DIV/0!</v>
      </c>
      <c r="BD45" s="173"/>
      <c r="BE45" s="261"/>
      <c r="BF45" s="22"/>
      <c r="BG45" s="236"/>
      <c r="BH45" s="236"/>
      <c r="BI45" s="88"/>
      <c r="BJ45" s="88"/>
      <c r="BK45" s="164"/>
      <c r="BL45" s="165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65"/>
    </row>
    <row r="46" spans="1:80" ht="18" customHeight="1" thickBot="1" thickTop="1">
      <c r="A46" s="255">
        <f>VLOOKUP(C46,Исходник!$A$3:$Y$44,25,FALSE)</f>
        <v>8</v>
      </c>
      <c r="B46" s="84"/>
      <c r="C46" s="166" t="str">
        <f>VLOOKUP(B47,Исходник!$AF$3:$AY$44,20,FALSE)</f>
        <v>Акутов Александр
СФДМ, Москва</v>
      </c>
      <c r="D46" s="166"/>
      <c r="E46" s="167"/>
      <c r="F46" s="38"/>
      <c r="G46" s="188"/>
      <c r="H46" s="189"/>
      <c r="I46" s="38"/>
      <c r="J46" s="188"/>
      <c r="K46" s="189"/>
      <c r="L46" s="38"/>
      <c r="M46" s="188"/>
      <c r="N46" s="189"/>
      <c r="O46" s="38"/>
      <c r="P46" s="188"/>
      <c r="Q46" s="189"/>
      <c r="R46" s="38"/>
      <c r="S46" s="188"/>
      <c r="T46" s="189"/>
      <c r="U46" s="38"/>
      <c r="V46" s="188"/>
      <c r="W46" s="189"/>
      <c r="X46" s="38"/>
      <c r="Y46" s="188"/>
      <c r="Z46" s="189"/>
      <c r="AA46" s="38"/>
      <c r="AB46" s="188"/>
      <c r="AC46" s="189"/>
      <c r="AD46" s="38"/>
      <c r="AE46" s="188"/>
      <c r="AF46" s="189"/>
      <c r="AG46" s="38"/>
      <c r="AH46" s="188"/>
      <c r="AI46" s="189"/>
      <c r="AJ46" s="38"/>
      <c r="AK46" s="188"/>
      <c r="AL46" s="189"/>
      <c r="AM46" s="38"/>
      <c r="AN46" s="188"/>
      <c r="AO46" s="189"/>
      <c r="AP46" s="38"/>
      <c r="AQ46" s="188"/>
      <c r="AR46" s="189"/>
      <c r="AS46" s="26"/>
      <c r="AT46" s="211"/>
      <c r="AU46" s="212"/>
      <c r="AV46" s="201">
        <f>COUNTIF(F47:AU47,"в")</f>
        <v>0</v>
      </c>
      <c r="AW46" s="179">
        <f>F47+I47+L47+O47+R47+U47+X47+AA47+AD47+AG47+AJ47+AM47+AP47+AS47</f>
        <v>0</v>
      </c>
      <c r="AX46" s="184" t="s">
        <v>2</v>
      </c>
      <c r="AY46" s="183">
        <f>AU47+AR47+AO47+AL47+AI47+AF47+AC47+Z47+W47+T47+Q47+N47+K47+H47</f>
        <v>0</v>
      </c>
      <c r="AZ46" s="175">
        <f>IF(BL46=0,0,RANK(BL46,$BL$7:$BL$48,0))</f>
        <v>0</v>
      </c>
      <c r="BA46" s="174">
        <f>IF(BL46=0,0,VLOOKUP(AZ46,$BG$7:$BH$48,2,FALSE))</f>
        <v>0</v>
      </c>
      <c r="BB46" s="180">
        <f>A46+BA46</f>
        <v>8</v>
      </c>
      <c r="BC46" s="39" t="e">
        <f>AVERAGE(G46,J46,M46,P46,S46,V46,Y46,AB46,AE46,AH46,AK46,AN46,AQ46,AT46)</f>
        <v>#DIV/0!</v>
      </c>
      <c r="BD46" s="172">
        <f>F46+AS46+AP46+AM46+AJ46+AG46+AD46+AA46+X46+U46+R46+O46+L46+I46</f>
        <v>0</v>
      </c>
      <c r="BE46" s="259"/>
      <c r="BF46" s="22"/>
      <c r="BG46" s="236">
        <v>14</v>
      </c>
      <c r="BH46" s="236">
        <v>4</v>
      </c>
      <c r="BI46" s="88"/>
      <c r="BJ46" s="88"/>
      <c r="BK46" s="164">
        <f>IF((AV46+AW48*0.001)=0,0,AV46+AW48*0.001+1)</f>
        <v>0</v>
      </c>
      <c r="BL46" s="165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65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56"/>
      <c r="B47" s="85">
        <v>14</v>
      </c>
      <c r="C47" s="168"/>
      <c r="D47" s="168"/>
      <c r="E47" s="169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202"/>
      <c r="AW47" s="179"/>
      <c r="AX47" s="184"/>
      <c r="AY47" s="183"/>
      <c r="AZ47" s="176"/>
      <c r="BA47" s="174"/>
      <c r="BB47" s="180"/>
      <c r="BC47" s="44" t="e">
        <f>BC46*3</f>
        <v>#DIV/0!</v>
      </c>
      <c r="BD47" s="173"/>
      <c r="BE47" s="260"/>
      <c r="BF47" s="22"/>
      <c r="BG47" s="236"/>
      <c r="BH47" s="236"/>
      <c r="BI47" s="88"/>
      <c r="BJ47" s="88"/>
      <c r="BK47" s="164"/>
      <c r="BL47" s="165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65"/>
    </row>
    <row r="48" spans="1:80" ht="18" customHeight="1" thickBot="1" thickTop="1">
      <c r="A48" s="257"/>
      <c r="B48" s="87"/>
      <c r="C48" s="292"/>
      <c r="D48" s="292"/>
      <c r="E48" s="293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203"/>
      <c r="AW48" s="178">
        <f>AW46-AY46</f>
        <v>0</v>
      </c>
      <c r="AX48" s="178"/>
      <c r="AY48" s="178"/>
      <c r="AZ48" s="177"/>
      <c r="BA48" s="174"/>
      <c r="BB48" s="180"/>
      <c r="BC48" s="67" t="e">
        <f>AVERAGE(F48:AU48)</f>
        <v>#DIV/0!</v>
      </c>
      <c r="BD48" s="173"/>
      <c r="BE48" s="172"/>
      <c r="BF48" s="22"/>
      <c r="BG48" s="236"/>
      <c r="BH48" s="236"/>
      <c r="BI48" s="88"/>
      <c r="BJ48" s="88"/>
      <c r="BK48" s="164"/>
      <c r="BL48" s="165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65"/>
    </row>
    <row r="49" spans="59:80" ht="13.5" thickTop="1">
      <c r="BG49" s="88"/>
      <c r="BH49" s="88"/>
      <c r="BI49" s="88"/>
      <c r="BJ49" s="88"/>
      <c r="BK49" s="164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64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64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64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64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64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64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64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64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64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64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64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64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64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64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64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64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64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64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64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64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64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64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64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64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64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64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64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64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64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64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64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64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64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64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64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64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64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64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64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64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64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</sheetData>
  <sheetProtection/>
  <mergeCells count="475">
    <mergeCell ref="BK88:BK90"/>
    <mergeCell ref="BK70:BK72"/>
    <mergeCell ref="BK73:BK75"/>
    <mergeCell ref="BK76:BK78"/>
    <mergeCell ref="BK79:BK81"/>
    <mergeCell ref="BK82:BK84"/>
    <mergeCell ref="BK85:BK87"/>
    <mergeCell ref="BK52:BK54"/>
    <mergeCell ref="BK55:BK57"/>
    <mergeCell ref="BK58:BK60"/>
    <mergeCell ref="BK61:BK63"/>
    <mergeCell ref="BK64:BK66"/>
    <mergeCell ref="BK67:BK69"/>
    <mergeCell ref="BH46:BH48"/>
    <mergeCell ref="BK46:BK48"/>
    <mergeCell ref="BL46:BL48"/>
    <mergeCell ref="CB46:CB48"/>
    <mergeCell ref="AW48:AY48"/>
    <mergeCell ref="BK49:BK51"/>
    <mergeCell ref="AZ46:AZ48"/>
    <mergeCell ref="BA46:BA48"/>
    <mergeCell ref="BB46:BB48"/>
    <mergeCell ref="BD46:BD48"/>
    <mergeCell ref="BE46:BE48"/>
    <mergeCell ref="BG46:BG48"/>
    <mergeCell ref="AQ46:AR46"/>
    <mergeCell ref="AT46:AU46"/>
    <mergeCell ref="AV46:AV48"/>
    <mergeCell ref="AW46:AW47"/>
    <mergeCell ref="AX46:AX47"/>
    <mergeCell ref="AY46:AY47"/>
    <mergeCell ref="Y46:Z46"/>
    <mergeCell ref="AB46:AC46"/>
    <mergeCell ref="AE46:AF46"/>
    <mergeCell ref="AH46:AI46"/>
    <mergeCell ref="AK46:AL46"/>
    <mergeCell ref="AN46:AO46"/>
    <mergeCell ref="CB43:CB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BD43:BD45"/>
    <mergeCell ref="BE43:BE45"/>
    <mergeCell ref="BG43:BG45"/>
    <mergeCell ref="BH43:BH45"/>
    <mergeCell ref="BK43:BK45"/>
    <mergeCell ref="BL43:BL45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H40:BH42"/>
    <mergeCell ref="BK40:BK42"/>
    <mergeCell ref="BL40:BL42"/>
    <mergeCell ref="CB40:CB42"/>
    <mergeCell ref="AW42:AY42"/>
    <mergeCell ref="A43:A45"/>
    <mergeCell ref="C43:E45"/>
    <mergeCell ref="G43:H43"/>
    <mergeCell ref="J43:K43"/>
    <mergeCell ref="M43:N43"/>
    <mergeCell ref="AZ40:AZ42"/>
    <mergeCell ref="BA40:BA42"/>
    <mergeCell ref="BB40:BB42"/>
    <mergeCell ref="BD40:BD42"/>
    <mergeCell ref="BE40:BE42"/>
    <mergeCell ref="BG40:BG42"/>
    <mergeCell ref="AQ40:AR40"/>
    <mergeCell ref="AT40:AU40"/>
    <mergeCell ref="AV40:AV42"/>
    <mergeCell ref="AW40:AW41"/>
    <mergeCell ref="AX40:AX41"/>
    <mergeCell ref="AY40:AY41"/>
    <mergeCell ref="Y40:Z40"/>
    <mergeCell ref="AB40:AC40"/>
    <mergeCell ref="AE40:AF40"/>
    <mergeCell ref="AH40:AI40"/>
    <mergeCell ref="AK40:AL40"/>
    <mergeCell ref="AN40:AO40"/>
    <mergeCell ref="CB37:CB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BD37:BD39"/>
    <mergeCell ref="BE37:BE39"/>
    <mergeCell ref="BG37:BG39"/>
    <mergeCell ref="BH37:BH39"/>
    <mergeCell ref="BK37:BK39"/>
    <mergeCell ref="BL37:BL39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H34:BH36"/>
    <mergeCell ref="BK34:BK36"/>
    <mergeCell ref="BL34:BL36"/>
    <mergeCell ref="CB34:CB36"/>
    <mergeCell ref="AW36:AY36"/>
    <mergeCell ref="A37:A39"/>
    <mergeCell ref="C37:E39"/>
    <mergeCell ref="G37:H37"/>
    <mergeCell ref="J37:K37"/>
    <mergeCell ref="M37:N37"/>
    <mergeCell ref="AZ34:AZ36"/>
    <mergeCell ref="BA34:BA36"/>
    <mergeCell ref="BB34:BB36"/>
    <mergeCell ref="BD34:BD36"/>
    <mergeCell ref="BE34:BE36"/>
    <mergeCell ref="BG34:BG36"/>
    <mergeCell ref="AQ34:AR34"/>
    <mergeCell ref="AT34:AU34"/>
    <mergeCell ref="AV34:AV36"/>
    <mergeCell ref="AW34:AW35"/>
    <mergeCell ref="AX34:AX35"/>
    <mergeCell ref="AY34:AY35"/>
    <mergeCell ref="Y34:Z34"/>
    <mergeCell ref="AB34:AC34"/>
    <mergeCell ref="AE34:AF34"/>
    <mergeCell ref="AH34:AI34"/>
    <mergeCell ref="AK34:AL34"/>
    <mergeCell ref="AN34:AO34"/>
    <mergeCell ref="CB31:CB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BD31:BD33"/>
    <mergeCell ref="BE31:BE33"/>
    <mergeCell ref="BG31:BG33"/>
    <mergeCell ref="BH31:BH33"/>
    <mergeCell ref="BK31:BK33"/>
    <mergeCell ref="BL31:BL33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H28:BH30"/>
    <mergeCell ref="BK28:BK30"/>
    <mergeCell ref="BL28:BL30"/>
    <mergeCell ref="CB28:CB30"/>
    <mergeCell ref="AW30:AY30"/>
    <mergeCell ref="A31:A33"/>
    <mergeCell ref="C31:E33"/>
    <mergeCell ref="G31:H31"/>
    <mergeCell ref="J31:K31"/>
    <mergeCell ref="M31:N31"/>
    <mergeCell ref="AZ28:AZ30"/>
    <mergeCell ref="BA28:BA30"/>
    <mergeCell ref="BB28:BB30"/>
    <mergeCell ref="BD28:BD30"/>
    <mergeCell ref="BE28:BE30"/>
    <mergeCell ref="BG28:BG30"/>
    <mergeCell ref="AQ28:AR28"/>
    <mergeCell ref="AT28:AU28"/>
    <mergeCell ref="AV28:AV30"/>
    <mergeCell ref="AW28:AW29"/>
    <mergeCell ref="AX28:AX29"/>
    <mergeCell ref="AY28:AY29"/>
    <mergeCell ref="Y28:Z28"/>
    <mergeCell ref="AB28:AC28"/>
    <mergeCell ref="AE28:AF28"/>
    <mergeCell ref="AH28:AI28"/>
    <mergeCell ref="AK28:AL28"/>
    <mergeCell ref="AN28:AO28"/>
    <mergeCell ref="CB25:CB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BD25:BD27"/>
    <mergeCell ref="BE25:BE27"/>
    <mergeCell ref="BG25:BG27"/>
    <mergeCell ref="BH25:BH27"/>
    <mergeCell ref="BK25:BK27"/>
    <mergeCell ref="BL25:BL27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H22:BH24"/>
    <mergeCell ref="BK22:BK24"/>
    <mergeCell ref="BL22:BL24"/>
    <mergeCell ref="CB22:CB24"/>
    <mergeCell ref="AW24:AY24"/>
    <mergeCell ref="A25:A27"/>
    <mergeCell ref="C25:E27"/>
    <mergeCell ref="G25:H25"/>
    <mergeCell ref="J25:K25"/>
    <mergeCell ref="M25:N25"/>
    <mergeCell ref="AZ22:AZ24"/>
    <mergeCell ref="BA22:BA24"/>
    <mergeCell ref="BB22:BB24"/>
    <mergeCell ref="BD22:BD24"/>
    <mergeCell ref="BE22:BE24"/>
    <mergeCell ref="BG22:BG24"/>
    <mergeCell ref="AQ22:AR22"/>
    <mergeCell ref="AT22:AU22"/>
    <mergeCell ref="AV22:AV24"/>
    <mergeCell ref="AW22:AW23"/>
    <mergeCell ref="AX22:AX23"/>
    <mergeCell ref="AY22:AY23"/>
    <mergeCell ref="Y22:Z22"/>
    <mergeCell ref="AB22:AC22"/>
    <mergeCell ref="AE22:AF22"/>
    <mergeCell ref="AH22:AI22"/>
    <mergeCell ref="AK22:AL22"/>
    <mergeCell ref="AN22:AO22"/>
    <mergeCell ref="CB19:C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BD19:BD21"/>
    <mergeCell ref="BE19:BE21"/>
    <mergeCell ref="BG19:BG21"/>
    <mergeCell ref="BH19:BH21"/>
    <mergeCell ref="BK19:BK21"/>
    <mergeCell ref="BL19:BL21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H16:BH18"/>
    <mergeCell ref="BK16:BK18"/>
    <mergeCell ref="BL16:BL18"/>
    <mergeCell ref="CB16:CB18"/>
    <mergeCell ref="AW18:AY18"/>
    <mergeCell ref="A19:A21"/>
    <mergeCell ref="C19:E21"/>
    <mergeCell ref="G19:H19"/>
    <mergeCell ref="J19:K19"/>
    <mergeCell ref="M19:N19"/>
    <mergeCell ref="AZ16:AZ18"/>
    <mergeCell ref="BA16:BA18"/>
    <mergeCell ref="BB16:BB18"/>
    <mergeCell ref="BD16:BD18"/>
    <mergeCell ref="BE16:BE18"/>
    <mergeCell ref="BG16:BG18"/>
    <mergeCell ref="AQ16:AR16"/>
    <mergeCell ref="AT16:AU16"/>
    <mergeCell ref="AV16:AV18"/>
    <mergeCell ref="AW16:AW17"/>
    <mergeCell ref="AX16:AX17"/>
    <mergeCell ref="AY16:AY17"/>
    <mergeCell ref="Y16:Z16"/>
    <mergeCell ref="AB16:AC16"/>
    <mergeCell ref="AE16:AF16"/>
    <mergeCell ref="AH16:AI16"/>
    <mergeCell ref="AK16:AL16"/>
    <mergeCell ref="AN16:AO16"/>
    <mergeCell ref="CB13:CB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BD13:BD15"/>
    <mergeCell ref="BE13:BE15"/>
    <mergeCell ref="BG13:BG15"/>
    <mergeCell ref="BH13:BH15"/>
    <mergeCell ref="BK13:BK15"/>
    <mergeCell ref="BL13:BL15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H10:BH12"/>
    <mergeCell ref="BK10:BK12"/>
    <mergeCell ref="BL10:BL12"/>
    <mergeCell ref="CB10:CB12"/>
    <mergeCell ref="AW12:AY12"/>
    <mergeCell ref="A13:A15"/>
    <mergeCell ref="C13:E15"/>
    <mergeCell ref="G13:H13"/>
    <mergeCell ref="J13:K13"/>
    <mergeCell ref="M13:N13"/>
    <mergeCell ref="AZ10:AZ12"/>
    <mergeCell ref="BA10:BA12"/>
    <mergeCell ref="BB10:BB12"/>
    <mergeCell ref="BD10:BD12"/>
    <mergeCell ref="BE10:BE12"/>
    <mergeCell ref="BG10:BG12"/>
    <mergeCell ref="AQ10:AR10"/>
    <mergeCell ref="AT10:AU10"/>
    <mergeCell ref="AV10:AV12"/>
    <mergeCell ref="AW10:AW11"/>
    <mergeCell ref="AX10:AX11"/>
    <mergeCell ref="AY10:AY11"/>
    <mergeCell ref="Y10:Z10"/>
    <mergeCell ref="AB10:AC10"/>
    <mergeCell ref="AE10:AF10"/>
    <mergeCell ref="AH10:AI10"/>
    <mergeCell ref="AK10:AL10"/>
    <mergeCell ref="AN10:AO10"/>
    <mergeCell ref="CB7:CB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BD7:BD9"/>
    <mergeCell ref="BE7:BE9"/>
    <mergeCell ref="BG7:BG9"/>
    <mergeCell ref="BH7:BH9"/>
    <mergeCell ref="BK7:BK9"/>
    <mergeCell ref="BL7:BL9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</mergeCells>
  <conditionalFormatting sqref="AW9:AY9">
    <cfRule type="cellIs" priority="56" dxfId="2" operator="greaterThanOrEqual" stopIfTrue="1">
      <formula>1</formula>
    </cfRule>
  </conditionalFormatting>
  <conditionalFormatting sqref="BC7">
    <cfRule type="cellIs" priority="44" dxfId="3" operator="between" stopIfTrue="1">
      <formula>21</formula>
      <formula>22.99999999</formula>
    </cfRule>
    <cfRule type="cellIs" priority="45" dxfId="2" operator="between" stopIfTrue="1">
      <formula>23</formula>
      <formula>26.999</formula>
    </cfRule>
    <cfRule type="cellIs" priority="46" dxfId="1" operator="greaterThanOrEqual" stopIfTrue="1">
      <formula>27</formula>
    </cfRule>
  </conditionalFormatting>
  <conditionalFormatting sqref="BC10 BC13 BC16 BC19 BC22 BC25 BC28 BC31 BC34 BC37 BC40 BC43 BC46">
    <cfRule type="cellIs" priority="38" dxfId="3" operator="between" stopIfTrue="1">
      <formula>21</formula>
      <formula>22.99999999</formula>
    </cfRule>
    <cfRule type="cellIs" priority="39" dxfId="2" operator="between" stopIfTrue="1">
      <formula>23</formula>
      <formula>26.999</formula>
    </cfRule>
    <cfRule type="cellIs" priority="40" dxfId="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37" dxfId="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36" dxfId="2" operator="greaterThanOrEqual" stopIfTrue="1">
      <formula>1</formula>
    </cfRule>
  </conditionalFormatting>
  <conditionalFormatting sqref="BC28 BC31 BC34 BC37 BC40 BC43 BC46 BC7 BC10 BC13 BC16 BC19 BC22 BC25">
    <cfRule type="cellIs" priority="27" dxfId="3" operator="between" stopIfTrue="1">
      <formula>21</formula>
      <formula>22.99999999</formula>
    </cfRule>
    <cfRule type="cellIs" priority="28" dxfId="2" operator="between" stopIfTrue="1">
      <formula>23</formula>
      <formula>26.999</formula>
    </cfRule>
    <cfRule type="cellIs" priority="29" dxfId="1" operator="greaterThanOrEqual" stopIfTrue="1">
      <formula>27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3" operator="between" stopIfTrue="1">
      <formula>21</formula>
      <formula>22.99999999</formula>
    </cfRule>
    <cfRule type="cellIs" priority="22" dxfId="2" operator="between" stopIfTrue="1">
      <formula>23</formula>
      <formula>26.999</formula>
    </cfRule>
    <cfRule type="cellIs" priority="23" dxfId="1" operator="greaterThanOrEqual" stopIfTrue="1">
      <formula>27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294" t="s">
        <v>20</v>
      </c>
      <c r="B1" s="294"/>
      <c r="C1" s="294"/>
      <c r="D1" s="294"/>
      <c r="E1" s="294"/>
      <c r="F1" s="294"/>
      <c r="G1" s="294"/>
      <c r="H1" s="294"/>
      <c r="I1" s="294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55</v>
      </c>
      <c r="I2" s="3" t="s">
        <v>22</v>
      </c>
    </row>
    <row r="3" spans="1:9" ht="24">
      <c r="A3" s="4">
        <v>1</v>
      </c>
      <c r="B3" s="10" t="s">
        <v>69</v>
      </c>
      <c r="C3" s="5">
        <v>63.28</v>
      </c>
      <c r="D3" s="5">
        <v>60.49</v>
      </c>
      <c r="E3" s="5">
        <v>67.61</v>
      </c>
      <c r="F3" s="5"/>
      <c r="G3" s="5"/>
      <c r="H3" s="5"/>
      <c r="I3" s="6">
        <f>AVERAGE(C3:H3)</f>
        <v>63.79333333333333</v>
      </c>
    </row>
    <row r="4" spans="1:9" ht="24">
      <c r="A4" s="4">
        <v>2</v>
      </c>
      <c r="B4" s="10" t="s">
        <v>70</v>
      </c>
      <c r="C4" s="5">
        <v>63.77</v>
      </c>
      <c r="D4" s="5">
        <v>64.87</v>
      </c>
      <c r="E4" s="5">
        <v>64.46</v>
      </c>
      <c r="F4" s="5"/>
      <c r="G4" s="5"/>
      <c r="H4" s="5"/>
      <c r="I4" s="6">
        <f aca="true" t="shared" si="0" ref="I4:I16">AVERAGE(C4:H4)</f>
        <v>64.36666666666667</v>
      </c>
    </row>
    <row r="5" spans="1:9" ht="24">
      <c r="A5" s="4">
        <v>3</v>
      </c>
      <c r="B5" s="10" t="s">
        <v>71</v>
      </c>
      <c r="C5" s="5">
        <v>52.25</v>
      </c>
      <c r="D5" s="5">
        <v>56.2</v>
      </c>
      <c r="E5" s="5">
        <v>53.84</v>
      </c>
      <c r="F5" s="5"/>
      <c r="G5" s="5"/>
      <c r="H5" s="5"/>
      <c r="I5" s="6">
        <f t="shared" si="0"/>
        <v>54.09666666666667</v>
      </c>
    </row>
    <row r="6" spans="1:12" ht="24">
      <c r="A6" s="4">
        <v>4</v>
      </c>
      <c r="B6" s="10" t="s">
        <v>72</v>
      </c>
      <c r="C6" s="5">
        <v>54.25</v>
      </c>
      <c r="D6" s="5">
        <v>54.42</v>
      </c>
      <c r="E6" s="5">
        <v>53.38</v>
      </c>
      <c r="F6" s="5"/>
      <c r="G6" s="5"/>
      <c r="H6" s="5"/>
      <c r="I6" s="6">
        <f t="shared" si="0"/>
        <v>54.01666666666667</v>
      </c>
      <c r="L6" s="1" t="s">
        <v>31</v>
      </c>
    </row>
    <row r="7" spans="1:9" ht="24">
      <c r="A7" s="4">
        <v>5</v>
      </c>
      <c r="B7" s="10" t="s">
        <v>73</v>
      </c>
      <c r="C7" s="5">
        <v>63.16</v>
      </c>
      <c r="D7" s="5">
        <v>63.62</v>
      </c>
      <c r="E7" s="5">
        <v>67.71</v>
      </c>
      <c r="F7" s="5"/>
      <c r="G7" s="5"/>
      <c r="H7" s="5"/>
      <c r="I7" s="6">
        <f t="shared" si="0"/>
        <v>64.83</v>
      </c>
    </row>
    <row r="8" spans="1:9" ht="24">
      <c r="A8" s="4">
        <v>6</v>
      </c>
      <c r="B8" s="10" t="s">
        <v>74</v>
      </c>
      <c r="C8" s="5">
        <v>61.14</v>
      </c>
      <c r="D8" s="5">
        <v>58.55</v>
      </c>
      <c r="E8" s="5">
        <v>61.14</v>
      </c>
      <c r="F8" s="5"/>
      <c r="G8" s="5"/>
      <c r="H8" s="5"/>
      <c r="I8" s="6">
        <f t="shared" si="0"/>
        <v>60.276666666666664</v>
      </c>
    </row>
    <row r="9" spans="1:9" ht="24">
      <c r="A9" s="4">
        <v>7</v>
      </c>
      <c r="B9" s="10" t="s">
        <v>23</v>
      </c>
      <c r="C9" s="5">
        <v>58.58</v>
      </c>
      <c r="D9" s="5">
        <v>60.51</v>
      </c>
      <c r="E9" s="5"/>
      <c r="F9" s="5"/>
      <c r="G9" s="5"/>
      <c r="H9" s="5"/>
      <c r="I9" s="6">
        <f t="shared" si="0"/>
        <v>59.545</v>
      </c>
    </row>
    <row r="10" spans="1:9" ht="24">
      <c r="A10" s="4">
        <v>8</v>
      </c>
      <c r="B10" s="10" t="s">
        <v>75</v>
      </c>
      <c r="C10" s="5">
        <v>58.63</v>
      </c>
      <c r="D10" s="5">
        <v>60.1</v>
      </c>
      <c r="E10" s="5"/>
      <c r="F10" s="5"/>
      <c r="G10" s="5"/>
      <c r="H10" s="5"/>
      <c r="I10" s="6">
        <f t="shared" si="0"/>
        <v>59.365</v>
      </c>
    </row>
    <row r="11" spans="1:9" ht="24">
      <c r="A11" s="4">
        <v>9</v>
      </c>
      <c r="B11" s="10" t="s">
        <v>76</v>
      </c>
      <c r="C11" s="5">
        <v>59.21</v>
      </c>
      <c r="D11" s="5">
        <v>60.47</v>
      </c>
      <c r="E11" s="5"/>
      <c r="F11" s="5"/>
      <c r="G11" s="5"/>
      <c r="H11" s="5"/>
      <c r="I11" s="6">
        <f t="shared" si="0"/>
        <v>59.84</v>
      </c>
    </row>
    <row r="12" spans="1:9" ht="24">
      <c r="A12" s="4">
        <v>10</v>
      </c>
      <c r="B12" s="10" t="s">
        <v>77</v>
      </c>
      <c r="C12" s="5">
        <v>55.38</v>
      </c>
      <c r="D12" s="5"/>
      <c r="E12" s="5">
        <v>59.43</v>
      </c>
      <c r="F12" s="5"/>
      <c r="G12" s="5"/>
      <c r="H12" s="5"/>
      <c r="I12" s="6">
        <f t="shared" si="0"/>
        <v>57.405</v>
      </c>
    </row>
    <row r="13" spans="1:9" ht="24">
      <c r="A13" s="4">
        <v>11</v>
      </c>
      <c r="B13" s="10" t="s">
        <v>78</v>
      </c>
      <c r="C13" s="5">
        <v>61.21</v>
      </c>
      <c r="D13" s="5">
        <v>63.97</v>
      </c>
      <c r="E13" s="5">
        <v>66.26</v>
      </c>
      <c r="F13" s="5"/>
      <c r="G13" s="5"/>
      <c r="H13" s="5"/>
      <c r="I13" s="6">
        <f t="shared" si="0"/>
        <v>63.81333333333333</v>
      </c>
    </row>
    <row r="14" spans="1:9" ht="24">
      <c r="A14" s="4">
        <v>12</v>
      </c>
      <c r="B14" s="10" t="s">
        <v>32</v>
      </c>
      <c r="C14" s="5">
        <v>59.92</v>
      </c>
      <c r="D14" s="5"/>
      <c r="E14" s="5"/>
      <c r="F14" s="5"/>
      <c r="G14" s="5"/>
      <c r="H14" s="5"/>
      <c r="I14" s="6">
        <f t="shared" si="0"/>
        <v>59.92</v>
      </c>
    </row>
    <row r="15" spans="1:9" ht="24">
      <c r="A15" s="4">
        <v>13</v>
      </c>
      <c r="B15" s="10" t="s">
        <v>79</v>
      </c>
      <c r="C15" s="5">
        <v>59.14</v>
      </c>
      <c r="D15" s="5">
        <v>55.79</v>
      </c>
      <c r="E15" s="5">
        <v>62.66</v>
      </c>
      <c r="F15" s="5"/>
      <c r="G15" s="5"/>
      <c r="H15" s="5"/>
      <c r="I15" s="6">
        <f t="shared" si="0"/>
        <v>59.196666666666665</v>
      </c>
    </row>
    <row r="16" spans="1:9" ht="24">
      <c r="A16" s="4">
        <v>14</v>
      </c>
      <c r="B16" s="10" t="s">
        <v>92</v>
      </c>
      <c r="C16" s="5"/>
      <c r="D16" s="5">
        <v>54.01</v>
      </c>
      <c r="E16" s="5">
        <v>58.89</v>
      </c>
      <c r="F16" s="5"/>
      <c r="G16" s="5"/>
      <c r="H16" s="5"/>
      <c r="I16" s="6">
        <f t="shared" si="0"/>
        <v>56.45</v>
      </c>
    </row>
    <row r="17" spans="1:9" ht="24">
      <c r="A17" s="295" t="s">
        <v>20</v>
      </c>
      <c r="B17" s="296"/>
      <c r="C17" s="5">
        <f aca="true" t="shared" si="1" ref="C17:I17">AVERAGE(C3:C16)</f>
        <v>59.22461538461538</v>
      </c>
      <c r="D17" s="5">
        <f t="shared" si="1"/>
        <v>59.416666666666664</v>
      </c>
      <c r="E17" s="5">
        <f t="shared" si="1"/>
        <v>61.538</v>
      </c>
      <c r="F17" s="5" t="e">
        <f t="shared" si="1"/>
        <v>#DIV/0!</v>
      </c>
      <c r="G17" s="5" t="e">
        <f t="shared" si="1"/>
        <v>#DIV/0!</v>
      </c>
      <c r="H17" s="5" t="e">
        <f t="shared" si="1"/>
        <v>#DIV/0!</v>
      </c>
      <c r="I17" s="6">
        <f t="shared" si="1"/>
        <v>59.77964285714286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E12" sqref="E12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97">
        <v>180</v>
      </c>
      <c r="B1" s="297"/>
      <c r="C1" s="297"/>
      <c r="D1" s="297"/>
      <c r="E1" s="297"/>
      <c r="F1" s="297"/>
      <c r="G1" s="297"/>
      <c r="H1" s="297"/>
      <c r="I1" s="297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55</v>
      </c>
      <c r="I2" s="3" t="s">
        <v>24</v>
      </c>
    </row>
    <row r="3" spans="1:9" ht="24">
      <c r="A3" s="4">
        <v>1</v>
      </c>
      <c r="B3" s="10" t="s">
        <v>69</v>
      </c>
      <c r="C3" s="11">
        <v>1</v>
      </c>
      <c r="D3" s="11">
        <v>3</v>
      </c>
      <c r="E3" s="11">
        <v>2</v>
      </c>
      <c r="F3" s="11"/>
      <c r="G3" s="11"/>
      <c r="H3" s="11"/>
      <c r="I3" s="12">
        <f>SUM(C3:H3)</f>
        <v>6</v>
      </c>
    </row>
    <row r="4" spans="1:9" ht="24">
      <c r="A4" s="4">
        <v>2</v>
      </c>
      <c r="B4" s="10" t="s">
        <v>70</v>
      </c>
      <c r="C4" s="11"/>
      <c r="D4" s="11">
        <v>3</v>
      </c>
      <c r="E4" s="11"/>
      <c r="F4" s="11"/>
      <c r="G4" s="11"/>
      <c r="H4" s="11"/>
      <c r="I4" s="12">
        <f aca="true" t="shared" si="0" ref="I4:I16">SUM(C4:H4)</f>
        <v>3</v>
      </c>
    </row>
    <row r="5" spans="1:9" ht="24">
      <c r="A5" s="4">
        <v>3</v>
      </c>
      <c r="B5" s="10" t="s">
        <v>71</v>
      </c>
      <c r="C5" s="11">
        <v>1</v>
      </c>
      <c r="D5" s="11"/>
      <c r="E5" s="11"/>
      <c r="F5" s="11"/>
      <c r="G5" s="11"/>
      <c r="H5" s="11"/>
      <c r="I5" s="12">
        <f t="shared" si="0"/>
        <v>1</v>
      </c>
    </row>
    <row r="6" spans="1:9" ht="24">
      <c r="A6" s="4">
        <v>4</v>
      </c>
      <c r="B6" s="10" t="s">
        <v>72</v>
      </c>
      <c r="C6" s="11"/>
      <c r="D6" s="11"/>
      <c r="E6" s="11"/>
      <c r="F6" s="11"/>
      <c r="G6" s="11"/>
      <c r="H6" s="11"/>
      <c r="I6" s="12">
        <f t="shared" si="0"/>
        <v>0</v>
      </c>
    </row>
    <row r="7" spans="1:9" ht="24">
      <c r="A7" s="4">
        <v>5</v>
      </c>
      <c r="B7" s="10" t="s">
        <v>73</v>
      </c>
      <c r="C7" s="11">
        <v>1</v>
      </c>
      <c r="D7" s="11">
        <v>4</v>
      </c>
      <c r="E7" s="11">
        <v>3</v>
      </c>
      <c r="F7" s="11"/>
      <c r="G7" s="11"/>
      <c r="H7" s="11"/>
      <c r="I7" s="12">
        <f t="shared" si="0"/>
        <v>8</v>
      </c>
    </row>
    <row r="8" spans="1:9" ht="24">
      <c r="A8" s="4">
        <v>6</v>
      </c>
      <c r="B8" s="10" t="s">
        <v>74</v>
      </c>
      <c r="C8" s="11">
        <v>1</v>
      </c>
      <c r="D8" s="11">
        <v>1</v>
      </c>
      <c r="E8" s="11">
        <v>2</v>
      </c>
      <c r="F8" s="11"/>
      <c r="G8" s="11"/>
      <c r="H8" s="11"/>
      <c r="I8" s="12">
        <f t="shared" si="0"/>
        <v>4</v>
      </c>
    </row>
    <row r="9" spans="1:9" ht="24">
      <c r="A9" s="4">
        <v>7</v>
      </c>
      <c r="B9" s="10" t="s">
        <v>23</v>
      </c>
      <c r="C9" s="11">
        <v>1</v>
      </c>
      <c r="D9" s="11">
        <v>2</v>
      </c>
      <c r="E9" s="11"/>
      <c r="F9" s="11"/>
      <c r="G9" s="11"/>
      <c r="H9" s="11"/>
      <c r="I9" s="12">
        <f t="shared" si="0"/>
        <v>3</v>
      </c>
    </row>
    <row r="10" spans="1:9" ht="24">
      <c r="A10" s="4">
        <v>8</v>
      </c>
      <c r="B10" s="10" t="s">
        <v>75</v>
      </c>
      <c r="C10" s="11"/>
      <c r="D10" s="11"/>
      <c r="E10" s="11"/>
      <c r="F10" s="11"/>
      <c r="G10" s="11"/>
      <c r="H10" s="11"/>
      <c r="I10" s="12">
        <f t="shared" si="0"/>
        <v>0</v>
      </c>
    </row>
    <row r="11" spans="1:9" ht="24">
      <c r="A11" s="4">
        <v>9</v>
      </c>
      <c r="B11" s="10" t="s">
        <v>76</v>
      </c>
      <c r="C11" s="11">
        <v>1</v>
      </c>
      <c r="D11" s="11"/>
      <c r="E11" s="11"/>
      <c r="F11" s="11"/>
      <c r="G11" s="11"/>
      <c r="H11" s="11"/>
      <c r="I11" s="12">
        <f t="shared" si="0"/>
        <v>1</v>
      </c>
    </row>
    <row r="12" spans="1:9" ht="24">
      <c r="A12" s="4">
        <v>10</v>
      </c>
      <c r="B12" s="10" t="s">
        <v>77</v>
      </c>
      <c r="C12" s="11"/>
      <c r="D12" s="11"/>
      <c r="E12" s="11">
        <v>2</v>
      </c>
      <c r="F12" s="11"/>
      <c r="G12" s="11"/>
      <c r="H12" s="11"/>
      <c r="I12" s="12">
        <f t="shared" si="0"/>
        <v>2</v>
      </c>
    </row>
    <row r="13" spans="1:9" ht="24">
      <c r="A13" s="4">
        <v>11</v>
      </c>
      <c r="B13" s="10" t="s">
        <v>78</v>
      </c>
      <c r="C13" s="11">
        <v>1</v>
      </c>
      <c r="D13" s="11">
        <v>4</v>
      </c>
      <c r="E13" s="11">
        <v>3</v>
      </c>
      <c r="F13" s="11"/>
      <c r="G13" s="11"/>
      <c r="H13" s="11"/>
      <c r="I13" s="12">
        <f t="shared" si="0"/>
        <v>8</v>
      </c>
    </row>
    <row r="14" spans="1:9" ht="24">
      <c r="A14" s="4">
        <v>12</v>
      </c>
      <c r="B14" s="10" t="s">
        <v>32</v>
      </c>
      <c r="C14" s="11">
        <v>2</v>
      </c>
      <c r="D14" s="11"/>
      <c r="E14" s="11"/>
      <c r="F14" s="11"/>
      <c r="G14" s="11"/>
      <c r="H14" s="11"/>
      <c r="I14" s="12">
        <f t="shared" si="0"/>
        <v>2</v>
      </c>
    </row>
    <row r="15" spans="1:9" ht="24">
      <c r="A15" s="4">
        <v>13</v>
      </c>
      <c r="B15" s="10" t="s">
        <v>79</v>
      </c>
      <c r="C15" s="11">
        <v>2</v>
      </c>
      <c r="D15" s="11">
        <v>2</v>
      </c>
      <c r="E15" s="11">
        <v>2</v>
      </c>
      <c r="F15" s="11"/>
      <c r="G15" s="11"/>
      <c r="H15" s="11"/>
      <c r="I15" s="12">
        <f t="shared" si="0"/>
        <v>6</v>
      </c>
    </row>
    <row r="16" spans="1:9" ht="24">
      <c r="A16" s="4">
        <v>14</v>
      </c>
      <c r="B16" s="10" t="s">
        <v>92</v>
      </c>
      <c r="C16" s="11"/>
      <c r="D16" s="11"/>
      <c r="E16" s="11"/>
      <c r="F16" s="11"/>
      <c r="G16" s="11"/>
      <c r="H16" s="11"/>
      <c r="I16" s="12">
        <f t="shared" si="0"/>
        <v>0</v>
      </c>
    </row>
    <row r="17" spans="1:9" ht="24">
      <c r="A17" s="295" t="s">
        <v>28</v>
      </c>
      <c r="B17" s="296"/>
      <c r="C17" s="11">
        <f aca="true" t="shared" si="1" ref="C17:H17">SUM(C3:C16)</f>
        <v>11</v>
      </c>
      <c r="D17" s="11">
        <f t="shared" si="1"/>
        <v>19</v>
      </c>
      <c r="E17" s="11">
        <f t="shared" si="1"/>
        <v>14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2">
        <f>SUM(I3:I16)</f>
        <v>44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294" t="s">
        <v>25</v>
      </c>
      <c r="B1" s="294"/>
      <c r="C1" s="294"/>
      <c r="D1" s="294"/>
      <c r="E1" s="294"/>
      <c r="F1" s="294"/>
      <c r="G1" s="294"/>
      <c r="H1" s="294"/>
      <c r="I1" s="294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55</v>
      </c>
      <c r="I2" s="3" t="s">
        <v>24</v>
      </c>
    </row>
    <row r="3" spans="1:9" ht="24">
      <c r="A3" s="4">
        <v>1</v>
      </c>
      <c r="B3" s="10" t="s">
        <v>69</v>
      </c>
      <c r="C3" s="13">
        <v>23</v>
      </c>
      <c r="D3" s="13">
        <v>23.8</v>
      </c>
      <c r="E3" s="13">
        <v>22</v>
      </c>
      <c r="F3" s="13"/>
      <c r="G3" s="13"/>
      <c r="H3" s="13"/>
      <c r="I3" s="14">
        <f>AVERAGE(C3:H3)</f>
        <v>22.933333333333334</v>
      </c>
    </row>
    <row r="4" spans="1:9" ht="24">
      <c r="A4" s="4">
        <v>2</v>
      </c>
      <c r="B4" s="10" t="s">
        <v>70</v>
      </c>
      <c r="C4" s="13">
        <v>21.4</v>
      </c>
      <c r="D4" s="13">
        <v>22.8</v>
      </c>
      <c r="E4" s="13">
        <v>22.9</v>
      </c>
      <c r="F4" s="13"/>
      <c r="G4" s="13"/>
      <c r="H4" s="13"/>
      <c r="I4" s="14">
        <f aca="true" t="shared" si="0" ref="I4:I16">AVERAGE(C4:H4)</f>
        <v>22.366666666666664</v>
      </c>
    </row>
    <row r="5" spans="1:9" ht="24">
      <c r="A5" s="4">
        <v>3</v>
      </c>
      <c r="B5" s="10" t="s">
        <v>71</v>
      </c>
      <c r="C5" s="13">
        <v>27.3</v>
      </c>
      <c r="D5" s="13">
        <v>25.8</v>
      </c>
      <c r="E5" s="13">
        <v>28</v>
      </c>
      <c r="F5" s="13"/>
      <c r="G5" s="13"/>
      <c r="H5" s="13"/>
      <c r="I5" s="14">
        <f t="shared" si="0"/>
        <v>27.03333333333333</v>
      </c>
    </row>
    <row r="6" spans="1:9" ht="24">
      <c r="A6" s="4">
        <v>4</v>
      </c>
      <c r="B6" s="10" t="s">
        <v>72</v>
      </c>
      <c r="C6" s="13">
        <v>26.9</v>
      </c>
      <c r="D6" s="13">
        <v>27.8</v>
      </c>
      <c r="E6" s="13">
        <v>26.4</v>
      </c>
      <c r="F6" s="13"/>
      <c r="G6" s="13"/>
      <c r="H6" s="13"/>
      <c r="I6" s="14">
        <f t="shared" si="0"/>
        <v>27.03333333333333</v>
      </c>
    </row>
    <row r="7" spans="1:9" ht="24">
      <c r="A7" s="4">
        <v>5</v>
      </c>
      <c r="B7" s="10" t="s">
        <v>73</v>
      </c>
      <c r="C7" s="13">
        <v>22</v>
      </c>
      <c r="D7" s="13">
        <v>23</v>
      </c>
      <c r="E7" s="13">
        <v>20.9</v>
      </c>
      <c r="F7" s="13"/>
      <c r="G7" s="13"/>
      <c r="H7" s="13"/>
      <c r="I7" s="14">
        <f t="shared" si="0"/>
        <v>21.96666666666667</v>
      </c>
    </row>
    <row r="8" spans="1:9" ht="24">
      <c r="A8" s="4">
        <v>6</v>
      </c>
      <c r="B8" s="10" t="s">
        <v>74</v>
      </c>
      <c r="C8" s="13">
        <v>24.8</v>
      </c>
      <c r="D8" s="13">
        <v>26</v>
      </c>
      <c r="E8" s="13">
        <v>25.6</v>
      </c>
      <c r="F8" s="13"/>
      <c r="G8" s="13"/>
      <c r="H8" s="13"/>
      <c r="I8" s="14">
        <f t="shared" si="0"/>
        <v>25.46666666666667</v>
      </c>
    </row>
    <row r="9" spans="1:9" ht="24">
      <c r="A9" s="4">
        <v>7</v>
      </c>
      <c r="B9" s="10" t="s">
        <v>23</v>
      </c>
      <c r="C9" s="13">
        <v>24.5</v>
      </c>
      <c r="D9" s="13">
        <v>24</v>
      </c>
      <c r="E9" s="13"/>
      <c r="F9" s="13"/>
      <c r="G9" s="13"/>
      <c r="H9" s="13"/>
      <c r="I9" s="14">
        <f t="shared" si="0"/>
        <v>24.25</v>
      </c>
    </row>
    <row r="10" spans="1:9" ht="24">
      <c r="A10" s="4">
        <v>8</v>
      </c>
      <c r="B10" s="10" t="s">
        <v>75</v>
      </c>
      <c r="C10" s="13">
        <v>24.7</v>
      </c>
      <c r="D10" s="13">
        <v>24</v>
      </c>
      <c r="E10" s="13"/>
      <c r="F10" s="13"/>
      <c r="G10" s="13"/>
      <c r="H10" s="13"/>
      <c r="I10" s="14">
        <f t="shared" si="0"/>
        <v>24.35</v>
      </c>
    </row>
    <row r="11" spans="1:9" ht="24">
      <c r="A11" s="4">
        <v>9</v>
      </c>
      <c r="B11" s="10" t="s">
        <v>76</v>
      </c>
      <c r="C11" s="13">
        <v>25</v>
      </c>
      <c r="D11" s="13">
        <v>24.9</v>
      </c>
      <c r="E11" s="13"/>
      <c r="F11" s="13"/>
      <c r="G11" s="13"/>
      <c r="H11" s="13"/>
      <c r="I11" s="14">
        <f t="shared" si="0"/>
        <v>24.95</v>
      </c>
    </row>
    <row r="12" spans="1:9" ht="24">
      <c r="A12" s="4">
        <v>10</v>
      </c>
      <c r="B12" s="10" t="s">
        <v>77</v>
      </c>
      <c r="C12" s="13">
        <v>26</v>
      </c>
      <c r="D12" s="13"/>
      <c r="E12" s="13">
        <v>24.3</v>
      </c>
      <c r="F12" s="13"/>
      <c r="G12" s="13"/>
      <c r="H12" s="13"/>
      <c r="I12" s="14">
        <f t="shared" si="0"/>
        <v>25.15</v>
      </c>
    </row>
    <row r="13" spans="1:9" ht="24">
      <c r="A13" s="4">
        <v>11</v>
      </c>
      <c r="B13" s="10" t="s">
        <v>78</v>
      </c>
      <c r="C13" s="13">
        <v>23.2</v>
      </c>
      <c r="D13" s="13">
        <v>23</v>
      </c>
      <c r="E13" s="13">
        <v>22.1</v>
      </c>
      <c r="F13" s="13"/>
      <c r="G13" s="13"/>
      <c r="H13" s="13"/>
      <c r="I13" s="14">
        <f t="shared" si="0"/>
        <v>22.76666666666667</v>
      </c>
    </row>
    <row r="14" spans="1:9" ht="24">
      <c r="A14" s="4">
        <v>12</v>
      </c>
      <c r="B14" s="10" t="s">
        <v>32</v>
      </c>
      <c r="C14" s="13">
        <v>23.1</v>
      </c>
      <c r="D14" s="13"/>
      <c r="E14" s="13"/>
      <c r="F14" s="13"/>
      <c r="G14" s="13"/>
      <c r="H14" s="13"/>
      <c r="I14" s="14">
        <f t="shared" si="0"/>
        <v>23.1</v>
      </c>
    </row>
    <row r="15" spans="1:9" ht="24">
      <c r="A15" s="4">
        <v>13</v>
      </c>
      <c r="B15" s="10" t="s">
        <v>79</v>
      </c>
      <c r="C15" s="13">
        <v>23.5</v>
      </c>
      <c r="D15" s="13">
        <v>25.6</v>
      </c>
      <c r="E15" s="13">
        <v>21.6</v>
      </c>
      <c r="F15" s="13"/>
      <c r="G15" s="13"/>
      <c r="H15" s="13"/>
      <c r="I15" s="14">
        <f t="shared" si="0"/>
        <v>23.566666666666666</v>
      </c>
    </row>
    <row r="16" spans="1:9" ht="24">
      <c r="A16" s="4">
        <v>14</v>
      </c>
      <c r="B16" s="10" t="s">
        <v>92</v>
      </c>
      <c r="C16" s="13"/>
      <c r="D16" s="13">
        <v>25.8</v>
      </c>
      <c r="E16" s="13">
        <v>22.9</v>
      </c>
      <c r="F16" s="13"/>
      <c r="G16" s="13"/>
      <c r="H16" s="13"/>
      <c r="I16" s="14">
        <f t="shared" si="0"/>
        <v>24.35</v>
      </c>
    </row>
    <row r="17" spans="1:9" ht="24">
      <c r="A17" s="295" t="s">
        <v>29</v>
      </c>
      <c r="B17" s="296"/>
      <c r="C17" s="13">
        <f aca="true" t="shared" si="1" ref="C17:I17">AVERAGE(C3:C16)</f>
        <v>24.261538461538464</v>
      </c>
      <c r="D17" s="13">
        <f t="shared" si="1"/>
        <v>24.708333333333332</v>
      </c>
      <c r="E17" s="13">
        <f t="shared" si="1"/>
        <v>23.67</v>
      </c>
      <c r="F17" s="13" t="e">
        <f t="shared" si="1"/>
        <v>#DIV/0!</v>
      </c>
      <c r="G17" s="13" t="e">
        <f t="shared" si="1"/>
        <v>#DIV/0!</v>
      </c>
      <c r="H17" s="13" t="e">
        <f t="shared" si="1"/>
        <v>#DIV/0!</v>
      </c>
      <c r="I17" s="14">
        <f t="shared" si="1"/>
        <v>24.23452380952381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2014-09-15T19:36:08Z</cp:lastPrinted>
  <dcterms:created xsi:type="dcterms:W3CDTF">2008-10-19T13:23:56Z</dcterms:created>
  <dcterms:modified xsi:type="dcterms:W3CDTF">2019-03-03T12:52:13Z</dcterms:modified>
  <cp:category/>
  <cp:version/>
  <cp:contentType/>
  <cp:contentStatus/>
</cp:coreProperties>
</file>